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"/>
    </mc:Choice>
  </mc:AlternateContent>
  <xr:revisionPtr revIDLastSave="0" documentId="13_ncr:1_{3F8404F8-5162-4C3A-9857-E675C985F250}" xr6:coauthVersionLast="47" xr6:coauthVersionMax="47" xr10:uidLastSave="{00000000-0000-0000-0000-000000000000}"/>
  <bookViews>
    <workbookView xWindow="28680" yWindow="-120" windowWidth="29040" windowHeight="15720" tabRatio="593" xr2:uid="{00000000-000D-0000-FFFF-FFFF00000000}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Town'!$A$1:$W$75</definedName>
    <definedName name="_xlnm.Print_Area" localSheetId="3">'Mardi Gras'!$A$1:$W$75</definedName>
    <definedName name="_xlnm.Print_Area" localSheetId="1">Mountaineer!$A$1:$W$28</definedName>
    <definedName name="_xlnm.Print_Area" localSheetId="0">Total!$A$1:$W$31</definedName>
    <definedName name="_xlnm.Print_Area" localSheetId="2">Wheeling!$A$1:$W$75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1" i="4" l="1"/>
  <c r="T21" i="3"/>
  <c r="A24" i="6"/>
  <c r="A21" i="5"/>
  <c r="A21" i="4"/>
  <c r="A21" i="3"/>
  <c r="N21" i="2"/>
  <c r="F21" i="2"/>
  <c r="E21" i="2" l="1"/>
  <c r="V21" i="2" s="1"/>
  <c r="G21" i="2" l="1"/>
  <c r="F21" i="4"/>
  <c r="H21" i="2" l="1"/>
  <c r="I21" i="2" s="1"/>
  <c r="K21" i="2" s="1"/>
  <c r="W24" i="6"/>
  <c r="D24" i="6"/>
  <c r="C24" i="6"/>
  <c r="B24" i="6"/>
  <c r="E21" i="5"/>
  <c r="G21" i="5" s="1"/>
  <c r="E21" i="4"/>
  <c r="V21" i="4" s="1"/>
  <c r="E21" i="3"/>
  <c r="V21" i="3" s="1"/>
  <c r="J21" i="2" l="1"/>
  <c r="L21" i="2" s="1"/>
  <c r="T21" i="2"/>
  <c r="S21" i="2"/>
  <c r="R21" i="2"/>
  <c r="Q21" i="2"/>
  <c r="P21" i="2"/>
  <c r="O21" i="2"/>
  <c r="M21" i="2"/>
  <c r="F24" i="6"/>
  <c r="F21" i="5"/>
  <c r="F21" i="3"/>
  <c r="E24" i="6"/>
  <c r="V21" i="5"/>
  <c r="V24" i="6" s="1"/>
  <c r="H21" i="5"/>
  <c r="I21" i="5" s="1"/>
  <c r="G21" i="4"/>
  <c r="G21" i="3"/>
  <c r="U21" i="2" l="1"/>
  <c r="G24" i="6"/>
  <c r="K21" i="5"/>
  <c r="J21" i="5"/>
  <c r="H21" i="4"/>
  <c r="I21" i="4" s="1"/>
  <c r="K21" i="4"/>
  <c r="J21" i="4"/>
  <c r="H21" i="3"/>
  <c r="I21" i="3" s="1"/>
  <c r="K21" i="3" s="1"/>
  <c r="W23" i="6"/>
  <c r="D23" i="6"/>
  <c r="C23" i="6"/>
  <c r="B23" i="6"/>
  <c r="E20" i="5"/>
  <c r="E20" i="4"/>
  <c r="V20" i="4" s="1"/>
  <c r="E20" i="3"/>
  <c r="E20" i="2"/>
  <c r="H24" i="6" l="1"/>
  <c r="L21" i="5"/>
  <c r="T21" i="5" s="1"/>
  <c r="V20" i="5"/>
  <c r="F20" i="5"/>
  <c r="L21" i="4"/>
  <c r="J21" i="3"/>
  <c r="L21" i="3" s="1"/>
  <c r="O21" i="3" s="1"/>
  <c r="V20" i="3"/>
  <c r="F20" i="3"/>
  <c r="S21" i="3"/>
  <c r="R21" i="3"/>
  <c r="Q21" i="3"/>
  <c r="P21" i="3"/>
  <c r="V20" i="2"/>
  <c r="F20" i="2"/>
  <c r="F20" i="4"/>
  <c r="E23" i="6"/>
  <c r="G20" i="5"/>
  <c r="H20" i="5" s="1"/>
  <c r="I20" i="5" s="1"/>
  <c r="G20" i="4"/>
  <c r="G20" i="3"/>
  <c r="G20" i="2"/>
  <c r="W22" i="6"/>
  <c r="D22" i="6"/>
  <c r="C22" i="6"/>
  <c r="B22" i="6"/>
  <c r="N21" i="4" l="1"/>
  <c r="M21" i="3"/>
  <c r="U21" i="3" s="1"/>
  <c r="N21" i="3"/>
  <c r="K24" i="6"/>
  <c r="I24" i="6"/>
  <c r="M21" i="5"/>
  <c r="N21" i="5"/>
  <c r="O21" i="5"/>
  <c r="P21" i="5"/>
  <c r="S21" i="5"/>
  <c r="U21" i="5"/>
  <c r="R21" i="5"/>
  <c r="Q21" i="5"/>
  <c r="V23" i="6"/>
  <c r="R21" i="4"/>
  <c r="Q21" i="4"/>
  <c r="S21" i="4"/>
  <c r="P21" i="4"/>
  <c r="O21" i="4"/>
  <c r="M21" i="4"/>
  <c r="U21" i="4" s="1"/>
  <c r="G23" i="6"/>
  <c r="F23" i="6"/>
  <c r="K20" i="5"/>
  <c r="J20" i="5"/>
  <c r="L20" i="5" s="1"/>
  <c r="H20" i="4"/>
  <c r="I20" i="4" s="1"/>
  <c r="J20" i="4" s="1"/>
  <c r="H20" i="3"/>
  <c r="I20" i="3" s="1"/>
  <c r="J20" i="3" s="1"/>
  <c r="H20" i="2"/>
  <c r="E19" i="5"/>
  <c r="V19" i="5" s="1"/>
  <c r="E19" i="4"/>
  <c r="E19" i="3"/>
  <c r="E19" i="2"/>
  <c r="F19" i="2" s="1"/>
  <c r="J24" i="6" l="1"/>
  <c r="K20" i="4"/>
  <c r="I20" i="2"/>
  <c r="H23" i="6"/>
  <c r="T20" i="5"/>
  <c r="S20" i="5"/>
  <c r="U20" i="5"/>
  <c r="R20" i="5"/>
  <c r="Q20" i="5"/>
  <c r="P20" i="5"/>
  <c r="O20" i="5"/>
  <c r="N20" i="5"/>
  <c r="M20" i="5"/>
  <c r="L20" i="4"/>
  <c r="V19" i="4"/>
  <c r="F19" i="4"/>
  <c r="K20" i="3"/>
  <c r="L20" i="3" s="1"/>
  <c r="V19" i="3"/>
  <c r="F19" i="3"/>
  <c r="J20" i="2"/>
  <c r="J23" i="6" s="1"/>
  <c r="F19" i="5"/>
  <c r="V19" i="2"/>
  <c r="E22" i="6"/>
  <c r="G19" i="5"/>
  <c r="H19" i="5" s="1"/>
  <c r="I19" i="5" s="1"/>
  <c r="G19" i="4"/>
  <c r="G19" i="3"/>
  <c r="G19" i="2"/>
  <c r="B21" i="6"/>
  <c r="C21" i="6"/>
  <c r="D21" i="6"/>
  <c r="W21" i="6"/>
  <c r="E18" i="5"/>
  <c r="V18" i="5" s="1"/>
  <c r="E18" i="4"/>
  <c r="V18" i="4" s="1"/>
  <c r="E18" i="3"/>
  <c r="V18" i="3" s="1"/>
  <c r="E18" i="2"/>
  <c r="V18" i="2" s="1"/>
  <c r="N24" i="6" l="1"/>
  <c r="L24" i="6"/>
  <c r="R24" i="6"/>
  <c r="U24" i="6"/>
  <c r="T24" i="6"/>
  <c r="S24" i="6"/>
  <c r="O24" i="6"/>
  <c r="M24" i="6"/>
  <c r="Q24" i="6"/>
  <c r="P24" i="6"/>
  <c r="T20" i="4"/>
  <c r="N20" i="4"/>
  <c r="H19" i="4"/>
  <c r="I19" i="4" s="1"/>
  <c r="S20" i="4"/>
  <c r="R20" i="4"/>
  <c r="K20" i="2"/>
  <c r="I23" i="6"/>
  <c r="M20" i="4"/>
  <c r="U20" i="4" s="1"/>
  <c r="O20" i="4"/>
  <c r="P20" i="4"/>
  <c r="Q20" i="4"/>
  <c r="V22" i="6"/>
  <c r="R20" i="3"/>
  <c r="T20" i="3"/>
  <c r="N20" i="3"/>
  <c r="O20" i="3"/>
  <c r="P20" i="3"/>
  <c r="S20" i="3"/>
  <c r="M20" i="3"/>
  <c r="U20" i="3" s="1"/>
  <c r="Q20" i="3"/>
  <c r="F22" i="6"/>
  <c r="G22" i="6"/>
  <c r="F18" i="5"/>
  <c r="K19" i="5"/>
  <c r="J19" i="5"/>
  <c r="K19" i="4"/>
  <c r="J19" i="4"/>
  <c r="F18" i="4"/>
  <c r="H19" i="3"/>
  <c r="I19" i="3" s="1"/>
  <c r="K19" i="3" s="1"/>
  <c r="H19" i="2"/>
  <c r="F18" i="2"/>
  <c r="F18" i="3"/>
  <c r="E21" i="6"/>
  <c r="V21" i="6"/>
  <c r="G18" i="5"/>
  <c r="G18" i="4"/>
  <c r="G18" i="3"/>
  <c r="G18" i="2"/>
  <c r="E17" i="3"/>
  <c r="F17" i="3" s="1"/>
  <c r="K23" i="6" l="1"/>
  <c r="L20" i="2"/>
  <c r="N20" i="2" s="1"/>
  <c r="I19" i="2"/>
  <c r="H22" i="6"/>
  <c r="L19" i="5"/>
  <c r="S19" i="5" s="1"/>
  <c r="L19" i="4"/>
  <c r="J19" i="3"/>
  <c r="L19" i="3" s="1"/>
  <c r="F21" i="6"/>
  <c r="H18" i="2"/>
  <c r="G21" i="6"/>
  <c r="H18" i="5"/>
  <c r="I18" i="5" s="1"/>
  <c r="K18" i="5" s="1"/>
  <c r="H18" i="4"/>
  <c r="I18" i="4" s="1"/>
  <c r="K18" i="4" s="1"/>
  <c r="H18" i="3"/>
  <c r="I18" i="3" s="1"/>
  <c r="K18" i="3" s="1"/>
  <c r="W20" i="6"/>
  <c r="D20" i="6"/>
  <c r="C20" i="6"/>
  <c r="B20" i="6"/>
  <c r="E17" i="5"/>
  <c r="E17" i="4"/>
  <c r="F17" i="4" s="1"/>
  <c r="V17" i="3"/>
  <c r="E17" i="2"/>
  <c r="L23" i="6" l="1"/>
  <c r="M20" i="2"/>
  <c r="M23" i="6" s="1"/>
  <c r="U20" i="2"/>
  <c r="U23" i="6" s="1"/>
  <c r="T20" i="2"/>
  <c r="T23" i="6" s="1"/>
  <c r="O20" i="2"/>
  <c r="O23" i="6" s="1"/>
  <c r="S20" i="2"/>
  <c r="S23" i="6" s="1"/>
  <c r="N23" i="6"/>
  <c r="Q20" i="2"/>
  <c r="Q23" i="6" s="1"/>
  <c r="P20" i="2"/>
  <c r="P23" i="6" s="1"/>
  <c r="R20" i="2"/>
  <c r="R23" i="6" s="1"/>
  <c r="T19" i="4"/>
  <c r="N19" i="4"/>
  <c r="R19" i="5"/>
  <c r="U19" i="5"/>
  <c r="N19" i="5"/>
  <c r="I22" i="6"/>
  <c r="K19" i="2"/>
  <c r="K22" i="6" s="1"/>
  <c r="J19" i="2"/>
  <c r="M19" i="5"/>
  <c r="P19" i="5"/>
  <c r="T19" i="5"/>
  <c r="O19" i="5"/>
  <c r="Q19" i="5"/>
  <c r="S19" i="4"/>
  <c r="R19" i="4"/>
  <c r="Q19" i="4"/>
  <c r="P19" i="4"/>
  <c r="O19" i="4"/>
  <c r="M19" i="4"/>
  <c r="U19" i="4" s="1"/>
  <c r="S19" i="3"/>
  <c r="T19" i="3"/>
  <c r="Q19" i="3"/>
  <c r="R19" i="3"/>
  <c r="P19" i="3"/>
  <c r="O19" i="3"/>
  <c r="N19" i="3"/>
  <c r="M19" i="3"/>
  <c r="U19" i="3" s="1"/>
  <c r="I18" i="2"/>
  <c r="H21" i="6"/>
  <c r="J18" i="5"/>
  <c r="L18" i="5" s="1"/>
  <c r="N18" i="5" s="1"/>
  <c r="V17" i="5"/>
  <c r="F17" i="5"/>
  <c r="J18" i="4"/>
  <c r="L18" i="4" s="1"/>
  <c r="J18" i="3"/>
  <c r="L18" i="3" s="1"/>
  <c r="S18" i="3" s="1"/>
  <c r="Q18" i="3"/>
  <c r="P18" i="3"/>
  <c r="O18" i="3"/>
  <c r="G17" i="2"/>
  <c r="F17" i="2"/>
  <c r="E20" i="6"/>
  <c r="G17" i="5"/>
  <c r="G17" i="4"/>
  <c r="H17" i="4" s="1"/>
  <c r="I17" i="4" s="1"/>
  <c r="J17" i="4" s="1"/>
  <c r="V17" i="4"/>
  <c r="G17" i="3"/>
  <c r="H17" i="3" s="1"/>
  <c r="I17" i="3" s="1"/>
  <c r="V17" i="2"/>
  <c r="R18" i="3" l="1"/>
  <c r="J22" i="6"/>
  <c r="L19" i="2"/>
  <c r="T18" i="4"/>
  <c r="N18" i="4"/>
  <c r="M18" i="3"/>
  <c r="U18" i="3" s="1"/>
  <c r="R18" i="4"/>
  <c r="T18" i="3"/>
  <c r="N18" i="3"/>
  <c r="I21" i="6"/>
  <c r="K18" i="2"/>
  <c r="K21" i="6" s="1"/>
  <c r="J18" i="2"/>
  <c r="U18" i="5"/>
  <c r="R18" i="5"/>
  <c r="T18" i="5"/>
  <c r="S18" i="5"/>
  <c r="Q18" i="5"/>
  <c r="P18" i="5"/>
  <c r="O18" i="5"/>
  <c r="M18" i="5"/>
  <c r="O18" i="4"/>
  <c r="P18" i="4"/>
  <c r="Q18" i="4"/>
  <c r="M18" i="4"/>
  <c r="U18" i="4" s="1"/>
  <c r="S18" i="4"/>
  <c r="K17" i="4"/>
  <c r="L17" i="4" s="1"/>
  <c r="G20" i="6"/>
  <c r="H17" i="2"/>
  <c r="F20" i="6"/>
  <c r="V20" i="6"/>
  <c r="H17" i="5"/>
  <c r="I17" i="5" s="1"/>
  <c r="J17" i="5" s="1"/>
  <c r="K17" i="3"/>
  <c r="J17" i="3"/>
  <c r="L22" i="6" l="1"/>
  <c r="N19" i="2"/>
  <c r="N22" i="6" s="1"/>
  <c r="M19" i="2"/>
  <c r="M22" i="6" s="1"/>
  <c r="R19" i="2"/>
  <c r="R22" i="6" s="1"/>
  <c r="U19" i="2"/>
  <c r="U22" i="6" s="1"/>
  <c r="S19" i="2"/>
  <c r="S22" i="6" s="1"/>
  <c r="P19" i="2"/>
  <c r="P22" i="6" s="1"/>
  <c r="O19" i="2"/>
  <c r="O22" i="6" s="1"/>
  <c r="T19" i="2"/>
  <c r="T22" i="6" s="1"/>
  <c r="Q19" i="2"/>
  <c r="Q22" i="6" s="1"/>
  <c r="J21" i="6"/>
  <c r="L18" i="2"/>
  <c r="Q17" i="4"/>
  <c r="T17" i="4"/>
  <c r="N17" i="4"/>
  <c r="I17" i="2"/>
  <c r="H20" i="6"/>
  <c r="K17" i="5"/>
  <c r="L17" i="5" s="1"/>
  <c r="N17" i="5" s="1"/>
  <c r="O17" i="4"/>
  <c r="R17" i="4"/>
  <c r="S17" i="4"/>
  <c r="M17" i="4"/>
  <c r="U17" i="4" s="1"/>
  <c r="P17" i="4"/>
  <c r="L17" i="3"/>
  <c r="N17" i="3" s="1"/>
  <c r="W19" i="6"/>
  <c r="D19" i="6"/>
  <c r="C19" i="6"/>
  <c r="B19" i="6"/>
  <c r="E16" i="5"/>
  <c r="E16" i="4"/>
  <c r="E16" i="3"/>
  <c r="E16" i="2"/>
  <c r="V16" i="2" s="1"/>
  <c r="L21" i="6" l="1"/>
  <c r="T18" i="2"/>
  <c r="T21" i="6" s="1"/>
  <c r="O18" i="2"/>
  <c r="O21" i="6" s="1"/>
  <c r="M18" i="2"/>
  <c r="M21" i="6" s="1"/>
  <c r="U18" i="2"/>
  <c r="U21" i="6" s="1"/>
  <c r="S18" i="2"/>
  <c r="S21" i="6" s="1"/>
  <c r="R18" i="2"/>
  <c r="R21" i="6" s="1"/>
  <c r="Q18" i="2"/>
  <c r="Q21" i="6" s="1"/>
  <c r="P18" i="2"/>
  <c r="P21" i="6" s="1"/>
  <c r="N18" i="2"/>
  <c r="N21" i="6" s="1"/>
  <c r="S17" i="3"/>
  <c r="T17" i="3"/>
  <c r="I20" i="6"/>
  <c r="K17" i="2"/>
  <c r="K20" i="6" s="1"/>
  <c r="J17" i="2"/>
  <c r="V16" i="5"/>
  <c r="F16" i="5"/>
  <c r="T17" i="5"/>
  <c r="S17" i="5"/>
  <c r="R17" i="5"/>
  <c r="O17" i="5"/>
  <c r="U17" i="5"/>
  <c r="Q17" i="5"/>
  <c r="P17" i="5"/>
  <c r="M17" i="5"/>
  <c r="V16" i="4"/>
  <c r="F16" i="4"/>
  <c r="M17" i="3"/>
  <c r="U17" i="3" s="1"/>
  <c r="O17" i="3"/>
  <c r="P17" i="3"/>
  <c r="Q17" i="3"/>
  <c r="R17" i="3"/>
  <c r="V16" i="3"/>
  <c r="F16" i="3"/>
  <c r="E19" i="6"/>
  <c r="G16" i="5"/>
  <c r="G16" i="4"/>
  <c r="G16" i="3"/>
  <c r="F16" i="2"/>
  <c r="G16" i="2"/>
  <c r="W18" i="6"/>
  <c r="D18" i="6"/>
  <c r="C18" i="6"/>
  <c r="B18" i="6"/>
  <c r="E15" i="5"/>
  <c r="V15" i="5" s="1"/>
  <c r="E15" i="4"/>
  <c r="V15" i="4" s="1"/>
  <c r="E15" i="3"/>
  <c r="E15" i="2"/>
  <c r="V15" i="2" s="1"/>
  <c r="V19" i="6" l="1"/>
  <c r="H16" i="4"/>
  <c r="I16" i="4" s="1"/>
  <c r="H16" i="3"/>
  <c r="I16" i="3" s="1"/>
  <c r="J16" i="3" s="1"/>
  <c r="L17" i="2"/>
  <c r="J20" i="6"/>
  <c r="F19" i="6"/>
  <c r="G19" i="6"/>
  <c r="H16" i="5"/>
  <c r="I16" i="5" s="1"/>
  <c r="K16" i="5" s="1"/>
  <c r="J16" i="4"/>
  <c r="K16" i="4"/>
  <c r="V15" i="3"/>
  <c r="V18" i="6" s="1"/>
  <c r="F15" i="3"/>
  <c r="H16" i="2"/>
  <c r="F15" i="4"/>
  <c r="H15" i="4" s="1"/>
  <c r="I15" i="4" s="1"/>
  <c r="F15" i="2"/>
  <c r="E18" i="6"/>
  <c r="F15" i="5"/>
  <c r="G15" i="5"/>
  <c r="G15" i="4"/>
  <c r="G15" i="3"/>
  <c r="G15" i="2"/>
  <c r="W17" i="6"/>
  <c r="D17" i="6"/>
  <c r="C17" i="6"/>
  <c r="B17" i="6"/>
  <c r="E14" i="5"/>
  <c r="V14" i="5" s="1"/>
  <c r="E14" i="4"/>
  <c r="E14" i="3"/>
  <c r="V14" i="3" s="1"/>
  <c r="E14" i="2"/>
  <c r="K16" i="3" l="1"/>
  <c r="L20" i="6"/>
  <c r="N17" i="2"/>
  <c r="N20" i="6" s="1"/>
  <c r="O17" i="2"/>
  <c r="O20" i="6" s="1"/>
  <c r="R17" i="2"/>
  <c r="R20" i="6" s="1"/>
  <c r="Q17" i="2"/>
  <c r="Q20" i="6" s="1"/>
  <c r="P17" i="2"/>
  <c r="P20" i="6" s="1"/>
  <c r="M17" i="2"/>
  <c r="M20" i="6" s="1"/>
  <c r="U17" i="2"/>
  <c r="U20" i="6" s="1"/>
  <c r="S17" i="2"/>
  <c r="S20" i="6" s="1"/>
  <c r="T17" i="2"/>
  <c r="T20" i="6" s="1"/>
  <c r="I16" i="2"/>
  <c r="J16" i="2" s="1"/>
  <c r="H19" i="6"/>
  <c r="J16" i="5"/>
  <c r="L16" i="5" s="1"/>
  <c r="Q16" i="5" s="1"/>
  <c r="L16" i="4"/>
  <c r="T16" i="4" s="1"/>
  <c r="L16" i="3"/>
  <c r="T16" i="3" s="1"/>
  <c r="H15" i="2"/>
  <c r="I15" i="2" s="1"/>
  <c r="K15" i="2" s="1"/>
  <c r="G18" i="6"/>
  <c r="F18" i="6"/>
  <c r="H15" i="5"/>
  <c r="V14" i="4"/>
  <c r="F14" i="4"/>
  <c r="J15" i="4"/>
  <c r="K15" i="4"/>
  <c r="H15" i="3"/>
  <c r="I15" i="3" s="1"/>
  <c r="J15" i="3" s="1"/>
  <c r="G14" i="2"/>
  <c r="F14" i="2"/>
  <c r="F14" i="5"/>
  <c r="F14" i="3"/>
  <c r="E17" i="6"/>
  <c r="G14" i="5"/>
  <c r="G14" i="4"/>
  <c r="G14" i="3"/>
  <c r="V14" i="2"/>
  <c r="V17" i="6" l="1"/>
  <c r="H14" i="3"/>
  <c r="I14" i="3" s="1"/>
  <c r="M16" i="5"/>
  <c r="O16" i="5"/>
  <c r="P16" i="5"/>
  <c r="U16" i="5"/>
  <c r="T16" i="5"/>
  <c r="N16" i="5"/>
  <c r="J15" i="2"/>
  <c r="L15" i="2" s="1"/>
  <c r="N15" i="2" s="1"/>
  <c r="S16" i="5"/>
  <c r="N16" i="3"/>
  <c r="J19" i="6"/>
  <c r="K16" i="2"/>
  <c r="K19" i="6" s="1"/>
  <c r="I19" i="6"/>
  <c r="R16" i="5"/>
  <c r="S16" i="4"/>
  <c r="Q16" i="4"/>
  <c r="P16" i="4"/>
  <c r="O16" i="4"/>
  <c r="R16" i="4"/>
  <c r="M16" i="4"/>
  <c r="U16" i="4" s="1"/>
  <c r="N16" i="4"/>
  <c r="Q16" i="3"/>
  <c r="O16" i="3"/>
  <c r="S16" i="3"/>
  <c r="P16" i="3"/>
  <c r="M16" i="3"/>
  <c r="U16" i="3" s="1"/>
  <c r="R16" i="3"/>
  <c r="I15" i="5"/>
  <c r="H18" i="6"/>
  <c r="L15" i="4"/>
  <c r="T15" i="4" s="1"/>
  <c r="K15" i="3"/>
  <c r="L15" i="3" s="1"/>
  <c r="G17" i="6"/>
  <c r="H14" i="2"/>
  <c r="F17" i="6"/>
  <c r="H14" i="5"/>
  <c r="I14" i="5" s="1"/>
  <c r="K14" i="5" s="1"/>
  <c r="H14" i="4"/>
  <c r="I14" i="4" s="1"/>
  <c r="K14" i="4" s="1"/>
  <c r="J14" i="3"/>
  <c r="K14" i="3"/>
  <c r="W16" i="6"/>
  <c r="D16" i="6"/>
  <c r="C16" i="6"/>
  <c r="B16" i="6"/>
  <c r="E13" i="5"/>
  <c r="E13" i="4"/>
  <c r="E13" i="3"/>
  <c r="E13" i="2"/>
  <c r="G13" i="2" s="1"/>
  <c r="L16" i="2" l="1"/>
  <c r="N16" i="2" s="1"/>
  <c r="T15" i="3"/>
  <c r="N15" i="3"/>
  <c r="N15" i="4"/>
  <c r="Q15" i="2"/>
  <c r="I18" i="6"/>
  <c r="K15" i="5"/>
  <c r="K18" i="6" s="1"/>
  <c r="J15" i="5"/>
  <c r="O15" i="4"/>
  <c r="P15" i="4"/>
  <c r="Q15" i="4"/>
  <c r="S15" i="4"/>
  <c r="R15" i="4"/>
  <c r="M15" i="4"/>
  <c r="U15" i="4" s="1"/>
  <c r="R15" i="3"/>
  <c r="Q15" i="3"/>
  <c r="P15" i="3"/>
  <c r="S15" i="3"/>
  <c r="O15" i="3"/>
  <c r="M15" i="3"/>
  <c r="U15" i="3" s="1"/>
  <c r="S15" i="2"/>
  <c r="T15" i="2"/>
  <c r="U15" i="2"/>
  <c r="R15" i="2"/>
  <c r="M15" i="2"/>
  <c r="O15" i="2"/>
  <c r="P15" i="2"/>
  <c r="I14" i="2"/>
  <c r="H17" i="6"/>
  <c r="J14" i="5"/>
  <c r="L14" i="5" s="1"/>
  <c r="V13" i="5"/>
  <c r="F13" i="5"/>
  <c r="J14" i="4"/>
  <c r="L14" i="4" s="1"/>
  <c r="V13" i="4"/>
  <c r="F13" i="4"/>
  <c r="V13" i="3"/>
  <c r="F13" i="3"/>
  <c r="L14" i="3"/>
  <c r="F13" i="2"/>
  <c r="E16" i="6"/>
  <c r="G13" i="5"/>
  <c r="G13" i="4"/>
  <c r="G13" i="3"/>
  <c r="V13" i="2"/>
  <c r="W15" i="6"/>
  <c r="D15" i="6"/>
  <c r="C15" i="6"/>
  <c r="B15" i="6"/>
  <c r="E12" i="5"/>
  <c r="E12" i="4"/>
  <c r="E12" i="3"/>
  <c r="V12" i="3" s="1"/>
  <c r="E12" i="2"/>
  <c r="L19" i="6" l="1"/>
  <c r="N19" i="6"/>
  <c r="S16" i="2"/>
  <c r="S19" i="6" s="1"/>
  <c r="P16" i="2"/>
  <c r="P19" i="6" s="1"/>
  <c r="O16" i="2"/>
  <c r="O19" i="6" s="1"/>
  <c r="Q16" i="2"/>
  <c r="Q19" i="6" s="1"/>
  <c r="U16" i="2"/>
  <c r="U19" i="6" s="1"/>
  <c r="R16" i="2"/>
  <c r="R19" i="6" s="1"/>
  <c r="M16" i="2"/>
  <c r="M19" i="6" s="1"/>
  <c r="T16" i="2"/>
  <c r="T19" i="6" s="1"/>
  <c r="J18" i="6"/>
  <c r="L15" i="5"/>
  <c r="N15" i="5" s="1"/>
  <c r="O14" i="4"/>
  <c r="N14" i="4"/>
  <c r="T14" i="4"/>
  <c r="T14" i="3"/>
  <c r="N14" i="3"/>
  <c r="V16" i="6"/>
  <c r="Q14" i="5"/>
  <c r="T14" i="5"/>
  <c r="N14" i="5"/>
  <c r="I17" i="6"/>
  <c r="J14" i="2"/>
  <c r="K14" i="2"/>
  <c r="K17" i="6" s="1"/>
  <c r="M14" i="5"/>
  <c r="U14" i="5" s="1"/>
  <c r="O14" i="5"/>
  <c r="P14" i="5"/>
  <c r="S14" i="5"/>
  <c r="R14" i="5"/>
  <c r="P14" i="4"/>
  <c r="Q14" i="4"/>
  <c r="S14" i="4"/>
  <c r="R14" i="4"/>
  <c r="M14" i="4"/>
  <c r="U14" i="4" s="1"/>
  <c r="G16" i="6"/>
  <c r="R14" i="3"/>
  <c r="S14" i="3"/>
  <c r="Q14" i="3"/>
  <c r="P14" i="3"/>
  <c r="O14" i="3"/>
  <c r="M14" i="3"/>
  <c r="U14" i="3" s="1"/>
  <c r="F16" i="6"/>
  <c r="H13" i="2"/>
  <c r="H13" i="5"/>
  <c r="I13" i="5" s="1"/>
  <c r="K13" i="5" s="1"/>
  <c r="V12" i="5"/>
  <c r="F12" i="5"/>
  <c r="H13" i="4"/>
  <c r="I13" i="4" s="1"/>
  <c r="K13" i="4" s="1"/>
  <c r="V12" i="4"/>
  <c r="F12" i="4"/>
  <c r="H13" i="3"/>
  <c r="I13" i="3" s="1"/>
  <c r="K13" i="3" s="1"/>
  <c r="V12" i="2"/>
  <c r="F12" i="2"/>
  <c r="F12" i="3"/>
  <c r="E15" i="6"/>
  <c r="G12" i="5"/>
  <c r="G12" i="4"/>
  <c r="G12" i="3"/>
  <c r="G12" i="2"/>
  <c r="L18" i="6" l="1"/>
  <c r="P15" i="5"/>
  <c r="P18" i="6" s="1"/>
  <c r="Q15" i="5"/>
  <c r="Q18" i="6" s="1"/>
  <c r="O15" i="5"/>
  <c r="O18" i="6" s="1"/>
  <c r="R15" i="5"/>
  <c r="R18" i="6" s="1"/>
  <c r="N18" i="6"/>
  <c r="M15" i="5"/>
  <c r="S15" i="5"/>
  <c r="S18" i="6" s="1"/>
  <c r="T18" i="6"/>
  <c r="L14" i="2"/>
  <c r="N14" i="2" s="1"/>
  <c r="J17" i="6"/>
  <c r="I13" i="2"/>
  <c r="H16" i="6"/>
  <c r="J13" i="5"/>
  <c r="L13" i="5" s="1"/>
  <c r="H12" i="5"/>
  <c r="I12" i="5" s="1"/>
  <c r="J12" i="5" s="1"/>
  <c r="V15" i="6"/>
  <c r="J13" i="4"/>
  <c r="L13" i="4" s="1"/>
  <c r="J13" i="3"/>
  <c r="L13" i="3" s="1"/>
  <c r="F15" i="6"/>
  <c r="H12" i="4"/>
  <c r="I12" i="4" s="1"/>
  <c r="J12" i="4" s="1"/>
  <c r="H12" i="2"/>
  <c r="G15" i="6"/>
  <c r="K12" i="5"/>
  <c r="H12" i="3"/>
  <c r="I12" i="3" s="1"/>
  <c r="K12" i="3" s="1"/>
  <c r="U18" i="6" l="1"/>
  <c r="M18" i="6"/>
  <c r="L17" i="6"/>
  <c r="N17" i="6"/>
  <c r="S14" i="2"/>
  <c r="S17" i="6" s="1"/>
  <c r="M14" i="2"/>
  <c r="M17" i="6" s="1"/>
  <c r="Q14" i="2"/>
  <c r="Q17" i="6" s="1"/>
  <c r="R14" i="2"/>
  <c r="R17" i="6" s="1"/>
  <c r="P14" i="2"/>
  <c r="P17" i="6" s="1"/>
  <c r="U14" i="2"/>
  <c r="U17" i="6" s="1"/>
  <c r="O14" i="2"/>
  <c r="O17" i="6" s="1"/>
  <c r="T14" i="2"/>
  <c r="T17" i="6" s="1"/>
  <c r="T13" i="5"/>
  <c r="N13" i="5"/>
  <c r="K12" i="4"/>
  <c r="L12" i="4" s="1"/>
  <c r="Q12" i="4" s="1"/>
  <c r="T13" i="3"/>
  <c r="N13" i="3"/>
  <c r="J12" i="3"/>
  <c r="L12" i="3" s="1"/>
  <c r="T13" i="4"/>
  <c r="N13" i="4"/>
  <c r="J13" i="2"/>
  <c r="J16" i="6" s="1"/>
  <c r="I16" i="6"/>
  <c r="K13" i="2"/>
  <c r="M13" i="5"/>
  <c r="U13" i="5" s="1"/>
  <c r="O13" i="5"/>
  <c r="P13" i="5"/>
  <c r="Q13" i="5"/>
  <c r="R13" i="5"/>
  <c r="S13" i="5"/>
  <c r="R13" i="4"/>
  <c r="S13" i="4"/>
  <c r="M13" i="4"/>
  <c r="U13" i="4" s="1"/>
  <c r="O13" i="4"/>
  <c r="Q13" i="4"/>
  <c r="P13" i="4"/>
  <c r="M13" i="3"/>
  <c r="U13" i="3" s="1"/>
  <c r="O13" i="3"/>
  <c r="P13" i="3"/>
  <c r="Q13" i="3"/>
  <c r="S13" i="3"/>
  <c r="R13" i="3"/>
  <c r="I12" i="2"/>
  <c r="H15" i="6"/>
  <c r="L12" i="5"/>
  <c r="L13" i="2" l="1"/>
  <c r="N13" i="2" s="1"/>
  <c r="K16" i="6"/>
  <c r="S12" i="5"/>
  <c r="T12" i="5"/>
  <c r="N12" i="5"/>
  <c r="N12" i="4"/>
  <c r="T12" i="4"/>
  <c r="N12" i="3"/>
  <c r="T12" i="3"/>
  <c r="M12" i="5"/>
  <c r="U12" i="5" s="1"/>
  <c r="O12" i="5"/>
  <c r="Q12" i="5"/>
  <c r="O12" i="4"/>
  <c r="P12" i="4"/>
  <c r="M12" i="4"/>
  <c r="U12" i="4" s="1"/>
  <c r="S12" i="4"/>
  <c r="R12" i="4"/>
  <c r="I15" i="6"/>
  <c r="K12" i="2"/>
  <c r="K15" i="6" s="1"/>
  <c r="J12" i="2"/>
  <c r="R12" i="5"/>
  <c r="P12" i="5"/>
  <c r="S12" i="3"/>
  <c r="Q12" i="3"/>
  <c r="P12" i="3"/>
  <c r="O12" i="3"/>
  <c r="M12" i="3"/>
  <c r="U12" i="3" s="1"/>
  <c r="R12" i="3"/>
  <c r="L16" i="6" l="1"/>
  <c r="N16" i="6"/>
  <c r="M13" i="2"/>
  <c r="M16" i="6" s="1"/>
  <c r="P13" i="2"/>
  <c r="P16" i="6" s="1"/>
  <c r="T13" i="2"/>
  <c r="T16" i="6" s="1"/>
  <c r="R13" i="2"/>
  <c r="R16" i="6" s="1"/>
  <c r="S13" i="2"/>
  <c r="S16" i="6" s="1"/>
  <c r="U13" i="2"/>
  <c r="U16" i="6" s="1"/>
  <c r="O13" i="2"/>
  <c r="O16" i="6" s="1"/>
  <c r="Q13" i="2"/>
  <c r="Q16" i="6" s="1"/>
  <c r="J15" i="6"/>
  <c r="L12" i="2"/>
  <c r="U12" i="2" l="1"/>
  <c r="U15" i="6" s="1"/>
  <c r="N12" i="2"/>
  <c r="N15" i="6" s="1"/>
  <c r="L15" i="6"/>
  <c r="T12" i="2"/>
  <c r="T15" i="6" s="1"/>
  <c r="R12" i="2"/>
  <c r="R15" i="6" s="1"/>
  <c r="Q12" i="2"/>
  <c r="Q15" i="6" s="1"/>
  <c r="P12" i="2"/>
  <c r="P15" i="6" s="1"/>
  <c r="O12" i="2"/>
  <c r="O15" i="6" s="1"/>
  <c r="M12" i="2"/>
  <c r="M15" i="6" s="1"/>
  <c r="S12" i="2"/>
  <c r="S15" i="6" s="1"/>
  <c r="W14" i="6" l="1"/>
  <c r="D14" i="6"/>
  <c r="C14" i="6"/>
  <c r="B14" i="6"/>
  <c r="E11" i="5"/>
  <c r="V11" i="5" s="1"/>
  <c r="E11" i="4"/>
  <c r="E11" i="3"/>
  <c r="E11" i="2"/>
  <c r="V11" i="2" s="1"/>
  <c r="G11" i="4" l="1"/>
  <c r="F11" i="4"/>
  <c r="V11" i="3"/>
  <c r="F11" i="3"/>
  <c r="F11" i="5"/>
  <c r="F11" i="2"/>
  <c r="E14" i="6"/>
  <c r="G11" i="5"/>
  <c r="V11" i="4"/>
  <c r="V14" i="6" s="1"/>
  <c r="G11" i="3"/>
  <c r="G11" i="2"/>
  <c r="H11" i="4" l="1"/>
  <c r="I11" i="4" s="1"/>
  <c r="H11" i="5"/>
  <c r="I11" i="5" s="1"/>
  <c r="G14" i="6"/>
  <c r="F14" i="6"/>
  <c r="H11" i="2"/>
  <c r="K11" i="5"/>
  <c r="J11" i="5"/>
  <c r="K11" i="4"/>
  <c r="J11" i="4"/>
  <c r="H11" i="3"/>
  <c r="I11" i="3" s="1"/>
  <c r="K11" i="3" s="1"/>
  <c r="W13" i="6"/>
  <c r="D13" i="6"/>
  <c r="C13" i="6"/>
  <c r="B13" i="6"/>
  <c r="E10" i="5"/>
  <c r="E10" i="4"/>
  <c r="E10" i="3"/>
  <c r="V10" i="3" s="1"/>
  <c r="E10" i="2"/>
  <c r="L11" i="4" l="1"/>
  <c r="I11" i="2"/>
  <c r="H14" i="6"/>
  <c r="L11" i="5"/>
  <c r="S11" i="5" s="1"/>
  <c r="V10" i="5"/>
  <c r="F10" i="5"/>
  <c r="V10" i="4"/>
  <c r="F10" i="4"/>
  <c r="R11" i="4"/>
  <c r="S11" i="4"/>
  <c r="P11" i="4"/>
  <c r="O11" i="4"/>
  <c r="M11" i="4"/>
  <c r="U11" i="4" s="1"/>
  <c r="Q11" i="4"/>
  <c r="J11" i="3"/>
  <c r="L11" i="3" s="1"/>
  <c r="N11" i="3" s="1"/>
  <c r="V10" i="2"/>
  <c r="F10" i="2"/>
  <c r="F10" i="3"/>
  <c r="E13" i="6"/>
  <c r="G10" i="5"/>
  <c r="G10" i="4"/>
  <c r="G10" i="3"/>
  <c r="G10" i="2"/>
  <c r="V13" i="6" l="1"/>
  <c r="T11" i="4"/>
  <c r="N11" i="4"/>
  <c r="T11" i="3"/>
  <c r="I14" i="6"/>
  <c r="K11" i="2"/>
  <c r="K14" i="6" s="1"/>
  <c r="J11" i="2"/>
  <c r="M11" i="5"/>
  <c r="U11" i="5" s="1"/>
  <c r="N11" i="5"/>
  <c r="O11" i="5"/>
  <c r="P11" i="5"/>
  <c r="R11" i="5"/>
  <c r="T11" i="5"/>
  <c r="Q11" i="5"/>
  <c r="S11" i="3"/>
  <c r="P11" i="3"/>
  <c r="O11" i="3"/>
  <c r="M11" i="3"/>
  <c r="U11" i="3" s="1"/>
  <c r="R11" i="3"/>
  <c r="Q11" i="3"/>
  <c r="F13" i="6"/>
  <c r="G13" i="6"/>
  <c r="H10" i="5"/>
  <c r="I10" i="5" s="1"/>
  <c r="K10" i="5" s="1"/>
  <c r="H10" i="4"/>
  <c r="I10" i="4" s="1"/>
  <c r="J10" i="4" s="1"/>
  <c r="H10" i="3"/>
  <c r="I10" i="3" s="1"/>
  <c r="K10" i="3" s="1"/>
  <c r="H10" i="2"/>
  <c r="W12" i="6"/>
  <c r="D12" i="6"/>
  <c r="C12" i="6"/>
  <c r="B12" i="6"/>
  <c r="E9" i="5"/>
  <c r="F9" i="5" s="1"/>
  <c r="E9" i="4"/>
  <c r="E9" i="3"/>
  <c r="E9" i="2"/>
  <c r="V9" i="2" s="1"/>
  <c r="A8" i="2"/>
  <c r="A9" i="2" s="1"/>
  <c r="A10" i="2" s="1"/>
  <c r="K10" i="4" l="1"/>
  <c r="J14" i="6"/>
  <c r="L11" i="2"/>
  <c r="N11" i="2" s="1"/>
  <c r="A11" i="2"/>
  <c r="A13" i="6"/>
  <c r="A10" i="4"/>
  <c r="A10" i="3"/>
  <c r="A10" i="5"/>
  <c r="A9" i="3"/>
  <c r="A12" i="6"/>
  <c r="A9" i="4"/>
  <c r="A9" i="5"/>
  <c r="J10" i="3"/>
  <c r="L10" i="3" s="1"/>
  <c r="I10" i="2"/>
  <c r="H13" i="6"/>
  <c r="J10" i="5"/>
  <c r="L10" i="5" s="1"/>
  <c r="V9" i="4"/>
  <c r="F9" i="4"/>
  <c r="L10" i="4"/>
  <c r="N10" i="4" s="1"/>
  <c r="V9" i="3"/>
  <c r="F9" i="3"/>
  <c r="E12" i="6"/>
  <c r="G9" i="5"/>
  <c r="H9" i="5" s="1"/>
  <c r="I9" i="5" s="1"/>
  <c r="V9" i="5"/>
  <c r="G9" i="4"/>
  <c r="G9" i="3"/>
  <c r="F9" i="2"/>
  <c r="G9" i="2"/>
  <c r="E8" i="2"/>
  <c r="F8" i="2" s="1"/>
  <c r="A12" i="2" l="1"/>
  <c r="A14" i="6"/>
  <c r="A11" i="3"/>
  <c r="A11" i="4"/>
  <c r="A11" i="5"/>
  <c r="U11" i="2"/>
  <c r="U14" i="6" s="1"/>
  <c r="N14" i="6"/>
  <c r="L14" i="6"/>
  <c r="M11" i="2"/>
  <c r="M14" i="6" s="1"/>
  <c r="P11" i="2"/>
  <c r="P14" i="6" s="1"/>
  <c r="R11" i="2"/>
  <c r="R14" i="6" s="1"/>
  <c r="O11" i="2"/>
  <c r="O14" i="6" s="1"/>
  <c r="T11" i="2"/>
  <c r="T14" i="6" s="1"/>
  <c r="Q11" i="2"/>
  <c r="Q14" i="6" s="1"/>
  <c r="S11" i="2"/>
  <c r="S14" i="6" s="1"/>
  <c r="T10" i="3"/>
  <c r="N10" i="3"/>
  <c r="T10" i="4"/>
  <c r="S10" i="3"/>
  <c r="I13" i="6"/>
  <c r="K10" i="2"/>
  <c r="K13" i="6" s="1"/>
  <c r="J10" i="2"/>
  <c r="M10" i="5"/>
  <c r="U10" i="5" s="1"/>
  <c r="T10" i="5"/>
  <c r="S10" i="5"/>
  <c r="Q10" i="5"/>
  <c r="P10" i="5"/>
  <c r="O10" i="5"/>
  <c r="N10" i="5"/>
  <c r="R10" i="5"/>
  <c r="Q10" i="4"/>
  <c r="S10" i="4"/>
  <c r="R10" i="4"/>
  <c r="P10" i="4"/>
  <c r="O10" i="4"/>
  <c r="M10" i="4"/>
  <c r="U10" i="4" s="1"/>
  <c r="R10" i="3"/>
  <c r="M10" i="3"/>
  <c r="U10" i="3" s="1"/>
  <c r="O10" i="3"/>
  <c r="P10" i="3"/>
  <c r="Q10" i="3"/>
  <c r="V12" i="6"/>
  <c r="G12" i="6"/>
  <c r="F12" i="6"/>
  <c r="K9" i="5"/>
  <c r="J9" i="5"/>
  <c r="H9" i="4"/>
  <c r="I9" i="4" s="1"/>
  <c r="K9" i="4" s="1"/>
  <c r="H9" i="3"/>
  <c r="I9" i="3" s="1"/>
  <c r="K9" i="3" s="1"/>
  <c r="H9" i="2"/>
  <c r="G8" i="2"/>
  <c r="H8" i="2" s="1"/>
  <c r="I8" i="2" s="1"/>
  <c r="A13" i="2" l="1"/>
  <c r="A15" i="6"/>
  <c r="A12" i="5"/>
  <c r="A12" i="4"/>
  <c r="A12" i="3"/>
  <c r="L10" i="2"/>
  <c r="N10" i="2" s="1"/>
  <c r="J13" i="6"/>
  <c r="L9" i="5"/>
  <c r="N9" i="5" s="1"/>
  <c r="J9" i="3"/>
  <c r="L9" i="3" s="1"/>
  <c r="I9" i="2"/>
  <c r="H12" i="6"/>
  <c r="P9" i="5"/>
  <c r="J9" i="4"/>
  <c r="L9" i="4" s="1"/>
  <c r="J8" i="2"/>
  <c r="K8" i="2"/>
  <c r="R9" i="5" l="1"/>
  <c r="Q9" i="5"/>
  <c r="A14" i="2"/>
  <c r="A16" i="6"/>
  <c r="A13" i="4"/>
  <c r="A13" i="3"/>
  <c r="A13" i="5"/>
  <c r="S9" i="5"/>
  <c r="T9" i="5"/>
  <c r="M9" i="5"/>
  <c r="U9" i="5" s="1"/>
  <c r="O9" i="5"/>
  <c r="L13" i="6"/>
  <c r="N13" i="6"/>
  <c r="P10" i="2"/>
  <c r="P13" i="6" s="1"/>
  <c r="M10" i="2"/>
  <c r="M13" i="6" s="1"/>
  <c r="U10" i="2"/>
  <c r="U13" i="6" s="1"/>
  <c r="T10" i="2"/>
  <c r="T13" i="6" s="1"/>
  <c r="S10" i="2"/>
  <c r="S13" i="6" s="1"/>
  <c r="R10" i="2"/>
  <c r="R13" i="6" s="1"/>
  <c r="Q10" i="2"/>
  <c r="Q13" i="6" s="1"/>
  <c r="O10" i="2"/>
  <c r="O13" i="6" s="1"/>
  <c r="N9" i="4"/>
  <c r="T9" i="4"/>
  <c r="T9" i="3"/>
  <c r="N9" i="3"/>
  <c r="R9" i="4"/>
  <c r="S9" i="4"/>
  <c r="I12" i="6"/>
  <c r="J9" i="2"/>
  <c r="K9" i="2"/>
  <c r="K12" i="6" s="1"/>
  <c r="M9" i="4"/>
  <c r="U9" i="4" s="1"/>
  <c r="O9" i="4"/>
  <c r="P9" i="4"/>
  <c r="Q9" i="4"/>
  <c r="M9" i="3"/>
  <c r="U9" i="3" s="1"/>
  <c r="S9" i="3"/>
  <c r="R9" i="3"/>
  <c r="Q9" i="3"/>
  <c r="P9" i="3"/>
  <c r="O9" i="3"/>
  <c r="L8" i="2"/>
  <c r="A15" i="2" l="1"/>
  <c r="A17" i="6"/>
  <c r="A14" i="5"/>
  <c r="A14" i="3"/>
  <c r="A14" i="4"/>
  <c r="J12" i="6"/>
  <c r="L9" i="2"/>
  <c r="N9" i="2" s="1"/>
  <c r="R8" i="2"/>
  <c r="S8" i="2"/>
  <c r="P8" i="2"/>
  <c r="N8" i="2"/>
  <c r="Q8" i="2"/>
  <c r="O8" i="2"/>
  <c r="M8" i="2"/>
  <c r="A16" i="2" l="1"/>
  <c r="A18" i="6"/>
  <c r="A15" i="4"/>
  <c r="A15" i="3"/>
  <c r="A15" i="5"/>
  <c r="U9" i="2"/>
  <c r="U12" i="6" s="1"/>
  <c r="N12" i="6"/>
  <c r="L12" i="6"/>
  <c r="P9" i="2"/>
  <c r="P12" i="6" s="1"/>
  <c r="Q9" i="2"/>
  <c r="Q12" i="6" s="1"/>
  <c r="R9" i="2"/>
  <c r="R12" i="6" s="1"/>
  <c r="M9" i="2"/>
  <c r="M12" i="6" s="1"/>
  <c r="O9" i="2"/>
  <c r="O12" i="6" s="1"/>
  <c r="S9" i="2"/>
  <c r="S12" i="6" s="1"/>
  <c r="T9" i="2"/>
  <c r="T12" i="6" s="1"/>
  <c r="W11" i="6"/>
  <c r="D11" i="6"/>
  <c r="C11" i="6"/>
  <c r="B11" i="6"/>
  <c r="A11" i="6"/>
  <c r="E8" i="5"/>
  <c r="A8" i="5"/>
  <c r="E8" i="4"/>
  <c r="V8" i="4" s="1"/>
  <c r="A8" i="4"/>
  <c r="E8" i="3"/>
  <c r="V8" i="3" s="1"/>
  <c r="A8" i="3"/>
  <c r="U8" i="2"/>
  <c r="T8" i="2"/>
  <c r="V8" i="2"/>
  <c r="A17" i="2" l="1"/>
  <c r="A19" i="6"/>
  <c r="A16" i="5"/>
  <c r="A16" i="4"/>
  <c r="A16" i="3"/>
  <c r="V8" i="5"/>
  <c r="V11" i="6" s="1"/>
  <c r="F8" i="5"/>
  <c r="E11" i="6"/>
  <c r="G8" i="5"/>
  <c r="F8" i="4"/>
  <c r="G8" i="4"/>
  <c r="F8" i="3"/>
  <c r="G8" i="3"/>
  <c r="A18" i="2" l="1"/>
  <c r="A20" i="6"/>
  <c r="A17" i="5"/>
  <c r="A17" i="4"/>
  <c r="A17" i="3"/>
  <c r="F11" i="6"/>
  <c r="G11" i="6"/>
  <c r="H8" i="3"/>
  <c r="H8" i="5"/>
  <c r="I8" i="5" s="1"/>
  <c r="K8" i="5" s="1"/>
  <c r="H8" i="4"/>
  <c r="I8" i="4" s="1"/>
  <c r="J8" i="4" s="1"/>
  <c r="A10" i="6"/>
  <c r="W10" i="6"/>
  <c r="D10" i="6"/>
  <c r="C10" i="6"/>
  <c r="B10" i="6"/>
  <c r="E7" i="5"/>
  <c r="V7" i="5" s="1"/>
  <c r="A7" i="5"/>
  <c r="E7" i="4"/>
  <c r="V7" i="4" s="1"/>
  <c r="A7" i="4"/>
  <c r="E7" i="3"/>
  <c r="V7" i="3" s="1"/>
  <c r="A7" i="3"/>
  <c r="E7" i="2"/>
  <c r="V7" i="2" s="1"/>
  <c r="A19" i="2" l="1"/>
  <c r="A18" i="3"/>
  <c r="A18" i="4"/>
  <c r="A21" i="6"/>
  <c r="A18" i="5"/>
  <c r="J8" i="5"/>
  <c r="L8" i="5" s="1"/>
  <c r="I8" i="3"/>
  <c r="H11" i="6"/>
  <c r="K8" i="4"/>
  <c r="L8" i="4" s="1"/>
  <c r="F7" i="4"/>
  <c r="F7" i="3"/>
  <c r="E10" i="6"/>
  <c r="V10" i="6"/>
  <c r="F7" i="5"/>
  <c r="G7" i="5"/>
  <c r="G7" i="4"/>
  <c r="G7" i="3"/>
  <c r="F7" i="2"/>
  <c r="G7" i="2"/>
  <c r="A6" i="5"/>
  <c r="A20" i="2" l="1"/>
  <c r="A21" i="2" s="1"/>
  <c r="A22" i="6"/>
  <c r="A19" i="5"/>
  <c r="A19" i="4"/>
  <c r="A19" i="3"/>
  <c r="H7" i="4"/>
  <c r="I7" i="4" s="1"/>
  <c r="K7" i="4" s="1"/>
  <c r="T8" i="5"/>
  <c r="S8" i="5"/>
  <c r="R8" i="5"/>
  <c r="P8" i="5"/>
  <c r="N8" i="5"/>
  <c r="O8" i="5"/>
  <c r="P8" i="4"/>
  <c r="R8" i="4"/>
  <c r="S8" i="4"/>
  <c r="Q8" i="4"/>
  <c r="O8" i="4"/>
  <c r="N8" i="4"/>
  <c r="M8" i="5"/>
  <c r="U8" i="5" s="1"/>
  <c r="Q8" i="5"/>
  <c r="T8" i="4"/>
  <c r="I11" i="6"/>
  <c r="K8" i="3"/>
  <c r="K11" i="6" s="1"/>
  <c r="J8" i="3"/>
  <c r="M8" i="4"/>
  <c r="U8" i="4" s="1"/>
  <c r="F10" i="6"/>
  <c r="G10" i="6"/>
  <c r="H7" i="5"/>
  <c r="I7" i="5" s="1"/>
  <c r="K7" i="5" s="1"/>
  <c r="H7" i="3"/>
  <c r="I7" i="3" s="1"/>
  <c r="K7" i="3" s="1"/>
  <c r="H7" i="2"/>
  <c r="B9" i="6"/>
  <c r="C9" i="6"/>
  <c r="D9" i="6"/>
  <c r="A23" i="6" l="1"/>
  <c r="A20" i="5"/>
  <c r="A20" i="4"/>
  <c r="A20" i="3"/>
  <c r="J7" i="4"/>
  <c r="J7" i="5"/>
  <c r="L7" i="5" s="1"/>
  <c r="J11" i="6"/>
  <c r="L8" i="3"/>
  <c r="I7" i="2"/>
  <c r="H10" i="6"/>
  <c r="L7" i="4"/>
  <c r="J7" i="3"/>
  <c r="L7" i="3" s="1"/>
  <c r="N7" i="3" s="1"/>
  <c r="W23" i="2"/>
  <c r="P8" i="3" l="1"/>
  <c r="P11" i="6" s="1"/>
  <c r="R8" i="3"/>
  <c r="R11" i="6" s="1"/>
  <c r="S8" i="3"/>
  <c r="S11" i="6" s="1"/>
  <c r="O8" i="3"/>
  <c r="O11" i="6" s="1"/>
  <c r="Q8" i="3"/>
  <c r="Q11" i="6" s="1"/>
  <c r="N8" i="3"/>
  <c r="N11" i="6" s="1"/>
  <c r="L11" i="6"/>
  <c r="M8" i="3"/>
  <c r="T8" i="3"/>
  <c r="T11" i="6" s="1"/>
  <c r="N7" i="5"/>
  <c r="T7" i="5"/>
  <c r="N7" i="4"/>
  <c r="T7" i="4"/>
  <c r="Q7" i="5"/>
  <c r="T7" i="3"/>
  <c r="I10" i="6"/>
  <c r="J7" i="2"/>
  <c r="K7" i="2"/>
  <c r="K10" i="6" s="1"/>
  <c r="M7" i="5"/>
  <c r="U7" i="5" s="1"/>
  <c r="M7" i="4"/>
  <c r="U7" i="4" s="1"/>
  <c r="M7" i="3"/>
  <c r="U7" i="3" s="1"/>
  <c r="W23" i="5"/>
  <c r="U8" i="3" l="1"/>
  <c r="U11" i="6" s="1"/>
  <c r="M11" i="6"/>
  <c r="J10" i="6"/>
  <c r="L7" i="2"/>
  <c r="B23" i="3"/>
  <c r="U7" i="2" l="1"/>
  <c r="U10" i="6" s="1"/>
  <c r="T7" i="2"/>
  <c r="T10" i="6" s="1"/>
  <c r="N7" i="2"/>
  <c r="N10" i="6" s="1"/>
  <c r="L10" i="6"/>
  <c r="R10" i="6"/>
  <c r="Q10" i="6"/>
  <c r="O10" i="6"/>
  <c r="P10" i="6"/>
  <c r="M7" i="2"/>
  <c r="M10" i="6" s="1"/>
  <c r="S10" i="6"/>
  <c r="A9" i="6"/>
  <c r="D23" i="5" l="1"/>
  <c r="C23" i="5"/>
  <c r="B23" i="5"/>
  <c r="E6" i="5"/>
  <c r="E23" i="5" s="1"/>
  <c r="A6" i="3"/>
  <c r="A6" i="4"/>
  <c r="W23" i="4"/>
  <c r="D23" i="4"/>
  <c r="C23" i="4"/>
  <c r="B23" i="4"/>
  <c r="E6" i="4"/>
  <c r="F6" i="4" s="1"/>
  <c r="W23" i="3"/>
  <c r="D23" i="3"/>
  <c r="C23" i="3"/>
  <c r="E6" i="3"/>
  <c r="E23" i="3" l="1"/>
  <c r="F6" i="3"/>
  <c r="F23" i="3" s="1"/>
  <c r="E23" i="4"/>
  <c r="F23" i="4"/>
  <c r="G6" i="5"/>
  <c r="G23" i="5" s="1"/>
  <c r="V6" i="5"/>
  <c r="V23" i="5" s="1"/>
  <c r="F6" i="5"/>
  <c r="F23" i="5" s="1"/>
  <c r="V6" i="4"/>
  <c r="V23" i="4" s="1"/>
  <c r="G6" i="4"/>
  <c r="G23" i="4" s="1"/>
  <c r="V6" i="3"/>
  <c r="V23" i="3" s="1"/>
  <c r="G6" i="3"/>
  <c r="G23" i="3" s="1"/>
  <c r="H6" i="5" l="1"/>
  <c r="H23" i="5" s="1"/>
  <c r="H6" i="4"/>
  <c r="H6" i="3"/>
  <c r="I6" i="5" l="1"/>
  <c r="J6" i="5" s="1"/>
  <c r="I6" i="4"/>
  <c r="H23" i="4"/>
  <c r="I6" i="3"/>
  <c r="H23" i="3"/>
  <c r="K6" i="5" l="1"/>
  <c r="K23" i="5" s="1"/>
  <c r="I23" i="5"/>
  <c r="J23" i="5"/>
  <c r="J6" i="4"/>
  <c r="I23" i="4"/>
  <c r="K6" i="4"/>
  <c r="K23" i="4" s="1"/>
  <c r="K6" i="3"/>
  <c r="K23" i="3" s="1"/>
  <c r="J6" i="3"/>
  <c r="I23" i="3"/>
  <c r="L6" i="5" l="1"/>
  <c r="J23" i="4"/>
  <c r="L6" i="4"/>
  <c r="T6" i="4" s="1"/>
  <c r="J23" i="3"/>
  <c r="L6" i="3"/>
  <c r="T6" i="5" l="1"/>
  <c r="T23" i="5" s="1"/>
  <c r="N6" i="5"/>
  <c r="N23" i="5" s="1"/>
  <c r="T6" i="3"/>
  <c r="T23" i="3" s="1"/>
  <c r="N6" i="3"/>
  <c r="N23" i="3" s="1"/>
  <c r="Q6" i="5"/>
  <c r="Q23" i="5" s="1"/>
  <c r="N6" i="4"/>
  <c r="N23" i="4" s="1"/>
  <c r="M6" i="5"/>
  <c r="M23" i="5" s="1"/>
  <c r="R6" i="5"/>
  <c r="R23" i="5" s="1"/>
  <c r="S6" i="5"/>
  <c r="S23" i="5" s="1"/>
  <c r="P6" i="5"/>
  <c r="P23" i="5" s="1"/>
  <c r="L23" i="5"/>
  <c r="O6" i="5"/>
  <c r="O23" i="5" s="1"/>
  <c r="Q6" i="4"/>
  <c r="Q23" i="4" s="1"/>
  <c r="O6" i="3"/>
  <c r="O23" i="3" s="1"/>
  <c r="R6" i="4"/>
  <c r="R23" i="4" s="1"/>
  <c r="L23" i="4"/>
  <c r="P6" i="4"/>
  <c r="P23" i="4" s="1"/>
  <c r="M6" i="4"/>
  <c r="O6" i="4"/>
  <c r="O23" i="4" s="1"/>
  <c r="S6" i="4"/>
  <c r="S23" i="4" s="1"/>
  <c r="L23" i="3"/>
  <c r="P6" i="3"/>
  <c r="P23" i="3" s="1"/>
  <c r="R6" i="3"/>
  <c r="R23" i="3" s="1"/>
  <c r="Q6" i="3"/>
  <c r="Q23" i="3" s="1"/>
  <c r="M6" i="3"/>
  <c r="S6" i="3"/>
  <c r="S23" i="3" s="1"/>
  <c r="U6" i="5" l="1"/>
  <c r="U23" i="5" s="1"/>
  <c r="M23" i="4"/>
  <c r="U6" i="4"/>
  <c r="U23" i="4" s="1"/>
  <c r="M23" i="3"/>
  <c r="U6" i="3"/>
  <c r="U23" i="3" s="1"/>
  <c r="C23" i="2"/>
  <c r="D23" i="2"/>
  <c r="E6" i="2" l="1"/>
  <c r="F6" i="2" s="1"/>
  <c r="E23" i="2" l="1"/>
  <c r="F23" i="2" l="1"/>
  <c r="V6" i="2"/>
  <c r="G6" i="2"/>
  <c r="G23" i="2" l="1"/>
  <c r="H6" i="2"/>
  <c r="H23" i="2" l="1"/>
  <c r="I6" i="2"/>
  <c r="I23" i="2" l="1"/>
  <c r="K6" i="2"/>
  <c r="J6" i="2"/>
  <c r="J23" i="2" l="1"/>
  <c r="K23" i="2"/>
  <c r="L6" i="2"/>
  <c r="N6" i="2" s="1"/>
  <c r="B23" i="2"/>
  <c r="B26" i="6" l="1"/>
  <c r="U6" i="2"/>
  <c r="U23" i="2" s="1"/>
  <c r="T6" i="2"/>
  <c r="O6" i="2"/>
  <c r="L23" i="2"/>
  <c r="Q6" i="2"/>
  <c r="V23" i="2"/>
  <c r="R6" i="2"/>
  <c r="P6" i="2"/>
  <c r="M6" i="2"/>
  <c r="S6" i="2"/>
  <c r="T23" i="2" l="1"/>
  <c r="S23" i="2"/>
  <c r="M23" i="2"/>
  <c r="Q23" i="2"/>
  <c r="P23" i="2"/>
  <c r="N23" i="2"/>
  <c r="R23" i="2"/>
  <c r="O23" i="2"/>
  <c r="I9" i="6" l="1"/>
  <c r="S9" i="6"/>
  <c r="V9" i="6"/>
  <c r="E9" i="6"/>
  <c r="W9" i="6"/>
  <c r="W26" i="6" s="1"/>
  <c r="N9" i="6"/>
  <c r="R9" i="6"/>
  <c r="Q9" i="6"/>
  <c r="U9" i="6"/>
  <c r="U26" i="6" s="1"/>
  <c r="F9" i="6"/>
  <c r="P9" i="6"/>
  <c r="J9" i="6"/>
  <c r="T9" i="6"/>
  <c r="M9" i="6"/>
  <c r="G9" i="6"/>
  <c r="H9" i="6"/>
  <c r="L9" i="6"/>
  <c r="O9" i="6"/>
  <c r="K9" i="6"/>
  <c r="C26" i="6" l="1"/>
  <c r="G26" i="6"/>
  <c r="E26" i="6"/>
  <c r="H26" i="6"/>
  <c r="V26" i="6"/>
  <c r="N26" i="6"/>
  <c r="P26" i="6"/>
  <c r="K26" i="6"/>
  <c r="L26" i="6"/>
  <c r="J26" i="6"/>
  <c r="F26" i="6"/>
  <c r="D26" i="6"/>
  <c r="I26" i="6"/>
  <c r="R26" i="6"/>
  <c r="S26" i="6"/>
  <c r="Q26" i="6"/>
  <c r="O26" i="6"/>
  <c r="M26" i="6"/>
  <c r="T23" i="4" l="1"/>
  <c r="T26" i="6" l="1"/>
</calcChain>
</file>

<file path=xl/sharedStrings.xml><?xml version="1.0" encoding="utf-8"?>
<sst xmlns="http://schemas.openxmlformats.org/spreadsheetml/2006/main" count="138" uniqueCount="38">
  <si>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</si>
  <si>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</si>
  <si>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</si>
  <si>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</si>
  <si>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</si>
  <si>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</si>
  <si>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</si>
  <si>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</si>
  <si>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</si>
  <si>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</si>
  <si>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</si>
  <si>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</si>
  <si>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</si>
  <si>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</si>
  <si>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</si>
  <si>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</si>
  <si>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</si>
  <si>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</si>
  <si>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</si>
  <si>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</si>
  <si>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</si>
  <si>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</si>
  <si>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</si>
  <si>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</si>
  <si>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</si>
  <si>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</si>
  <si>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</si>
  <si>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</si>
  <si>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</si>
  <si>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WEEKLY RACETRACK VIDEO REVENUE SUMMARY</t>
  </si>
  <si>
    <t>CITIES</t>
  </si>
  <si>
    <t>COUNTIES</t>
  </si>
  <si>
    <t>* 5 days to start the fiscal year</t>
  </si>
  <si>
    <t>FY 2025</t>
  </si>
  <si>
    <t>FISCAL YEAR 2026</t>
  </si>
  <si>
    <t>7/5/2025 *</t>
  </si>
  <si>
    <t>3 CITIES</t>
  </si>
  <si>
    <t>FISCAL YEAR TO DATE AS OF OCTOBER 18,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</si>
</sst>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4" fontId="0" fillId="0" borderId="0" xfId="0" applyNumberFormat="1"/>
    <xf numFmtId="44" fontId="0" fillId="0" borderId="2" xfId="0" applyNumberFormat="1" applyBorder="1"/>
    <xf numFmtId="44" fontId="0" fillId="0" borderId="2" xfId="0" applyNumberForma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/>
    <xf numFmtId="44" fontId="7" fillId="0" borderId="0" xfId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29"/>
  <sheetViews>
    <sheetView tabSelected="1" zoomScaleNormal="100" workbookViewId="0">
      <pane ySplit="7" topLeftCell="A8" activePane="bottomLeft" state="frozen"/>
      <selection pane="bottomLeft" activeCell="A26" sqref="A26"/>
    </sheetView>
  </sheetViews>
  <sheetFormatPr defaultRowHeight="15" customHeight="1" x14ac:dyDescent="0.25"/>
  <cols>
    <col min="1" max="1" width="11.7109375" customWidth="1"/>
    <col min="2" max="3" width="18" bestFit="1" customWidth="1"/>
    <col min="4" max="4" width="15.28515625" bestFit="1" customWidth="1"/>
    <col min="5" max="5" width="15.85546875" customWidth="1"/>
    <col min="6" max="6" width="14.28515625" bestFit="1" customWidth="1"/>
    <col min="7" max="7" width="12.7109375" customWidth="1"/>
    <col min="8" max="8" width="16.7109375" customWidth="1"/>
    <col min="9" max="9" width="11.5703125" hidden="1" customWidth="1"/>
    <col min="10" max="10" width="12.42578125" bestFit="1" customWidth="1"/>
    <col min="11" max="11" width="12.7109375" customWidth="1"/>
    <col min="12" max="12" width="16" customWidth="1"/>
    <col min="13" max="15" width="15.28515625" bestFit="1" customWidth="1"/>
    <col min="16" max="16" width="14.28515625" bestFit="1" customWidth="1"/>
    <col min="17" max="17" width="15" customWidth="1"/>
    <col min="18" max="20" width="14.28515625" bestFit="1" customWidth="1"/>
    <col min="21" max="21" width="12.5703125" bestFit="1" customWidth="1"/>
    <col min="22" max="22" width="10.5703125" bestFit="1" customWidth="1"/>
    <col min="23" max="23" width="13.5703125" bestFit="1" customWidth="1"/>
  </cols>
  <sheetData>
    <row r="1" spans="1:96" s="17" customFormat="1" ht="18.75" x14ac:dyDescent="0.3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96" s="14" customFormat="1" ht="15" customHeight="1" x14ac:dyDescent="0.25">
      <c r="A2" s="20" t="s">
        <v>29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</row>
    <row r="3" spans="1:96" s="14" customFormat="1" ht="15" customHeight="1" x14ac:dyDescent="0.25">
      <c r="A3" s="20" t="s">
        <v>37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</row>
    <row r="4" spans="1:96" s="14" customFormat="1" ht="15" customHeight="1" x14ac:dyDescent="0.25">
      <c r="A4" s="20" t="s">
        <v>34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</row>
    <row r="5" spans="1:96" s="14" customFormat="1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96" s="3" customFormat="1" ht="15" customHeight="1" x14ac:dyDescent="0.25"/>
    <row r="7" spans="1:96" s="2" customFormat="1" ht="45" customHeight="1" x14ac:dyDescent="0.25">
      <c r="A7" s="2" t="s">
        <v>2</v>
      </c>
      <c r="B7" s="2" t="s">
        <v>5</v>
      </c>
      <c r="C7" s="2" t="s">
        <v>6</v>
      </c>
      <c r="D7" s="2" t="s">
        <v>8</v>
      </c>
      <c r="E7" s="2" t="s">
        <v>9</v>
      </c>
      <c r="F7" s="2" t="s">
        <v>7</v>
      </c>
      <c r="G7" s="2" t="s">
        <v>10</v>
      </c>
      <c r="H7" s="2" t="s">
        <v>11</v>
      </c>
      <c r="I7" s="2" t="s">
        <v>3</v>
      </c>
      <c r="J7" s="2" t="s">
        <v>12</v>
      </c>
      <c r="K7" s="2" t="s">
        <v>13</v>
      </c>
      <c r="L7" s="2" t="s">
        <v>14</v>
      </c>
      <c r="M7" s="2" t="s">
        <v>1</v>
      </c>
      <c r="N7" s="2" t="s">
        <v>15</v>
      </c>
      <c r="O7" s="2" t="s">
        <v>10</v>
      </c>
      <c r="P7" s="2" t="s">
        <v>16</v>
      </c>
      <c r="Q7" s="2" t="s">
        <v>17</v>
      </c>
      <c r="R7" s="2" t="s">
        <v>18</v>
      </c>
      <c r="S7" s="2" t="s">
        <v>19</v>
      </c>
      <c r="T7" s="2" t="s">
        <v>31</v>
      </c>
      <c r="U7" s="2" t="s">
        <v>30</v>
      </c>
      <c r="V7" s="2" t="s">
        <v>20</v>
      </c>
      <c r="W7" s="2" t="s">
        <v>21</v>
      </c>
    </row>
    <row r="8" spans="1:96" s="3" customFormat="1" ht="15" customHeight="1" x14ac:dyDescent="0.25"/>
    <row r="9" spans="1:96" ht="15" customHeight="1" x14ac:dyDescent="0.25">
      <c r="A9" s="6" t="str">
        <f>Mountaineer!A6</f>
        <v>7/5/2025 *</v>
      </c>
      <c r="B9" s="7">
        <f>SUM('Mountaineer:Charles Town'!B6)</f>
        <v>95709971.179999992</v>
      </c>
      <c r="C9" s="7">
        <f>SUM('Mountaineer:Charles Town'!C6)</f>
        <v>86121159.579999998</v>
      </c>
      <c r="D9" s="7">
        <f>SUM('Mountaineer:Charles Town'!D6)</f>
        <v>1683840.44</v>
      </c>
      <c r="E9" s="7">
        <f>SUM('Mountaineer:Charles Town'!E6)</f>
        <v>7904971.1600000011</v>
      </c>
      <c r="F9" s="7">
        <f>SUM('Mountaineer:Charles Town'!F6)</f>
        <v>316198.85000000003</v>
      </c>
      <c r="G9" s="7">
        <f>SUM('Mountaineer:Charles Town'!G6)</f>
        <v>0</v>
      </c>
      <c r="H9" s="7">
        <f>SUM('Mountaineer:Charles Town'!H6)</f>
        <v>7588772.3100000005</v>
      </c>
      <c r="I9" s="7">
        <f>SUM('Mountaineer:Charles Town'!I6)</f>
        <v>0</v>
      </c>
      <c r="J9" s="7">
        <f>SUM('Mountaineer:Charles Town'!J6)</f>
        <v>0</v>
      </c>
      <c r="K9" s="7">
        <f>SUM('Mountaineer:Charles Town'!K6)</f>
        <v>0</v>
      </c>
      <c r="L9" s="18">
        <f>SUM('Mountaineer:Charles Town'!L6)</f>
        <v>7588772.3100000005</v>
      </c>
      <c r="M9" s="7">
        <f>SUM('Mountaineer:Charles Town'!M6)</f>
        <v>3528779.12</v>
      </c>
      <c r="N9" s="7">
        <f>SUM('Mountaineer:Charles Town'!N6)</f>
        <v>2276631.6799999997</v>
      </c>
      <c r="O9" s="7">
        <f>SUM('Mountaineer:Charles Town'!O6)</f>
        <v>975157.24</v>
      </c>
      <c r="P9" s="7">
        <f>SUM('Mountaineer:Charles Town'!P6)</f>
        <v>478092.64</v>
      </c>
      <c r="Q9" s="7">
        <f>SUM('Mountaineer:Charles Town'!Q6)</f>
        <v>75887.73000000001</v>
      </c>
      <c r="R9" s="7">
        <f>SUM('Mountaineer:Charles Town'!R6)</f>
        <v>51224.22</v>
      </c>
      <c r="S9" s="7">
        <f>SUM('Mountaineer:Charles Town'!S6)</f>
        <v>51224.22</v>
      </c>
      <c r="T9" s="7">
        <f>SUM('Mountaineer:Charles Town'!T6)</f>
        <v>139036.56</v>
      </c>
      <c r="U9" s="7">
        <f>SUM('Mountaineer:Charles Town'!U6)</f>
        <v>12738.9</v>
      </c>
      <c r="V9" s="7">
        <f>SUM('Mountaineer:Charles Town'!V6)</f>
        <v>6576.0697828193079</v>
      </c>
      <c r="W9" s="5">
        <f>SUM('Mountaineer:Charles Town'!W6)</f>
        <v>4382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Mountaineer!A7</f>
        <v>45850</v>
      </c>
      <c r="B10" s="7">
        <f>SUM('Mountaineer:Charles Town'!B7)</f>
        <v>112026095.17999999</v>
      </c>
      <c r="C10" s="7">
        <f>SUM('Mountaineer:Charles Town'!C7)</f>
        <v>100627705.59999999</v>
      </c>
      <c r="D10" s="7">
        <f>SUM('Mountaineer:Charles Town'!D7)</f>
        <v>2006670.5</v>
      </c>
      <c r="E10" s="7">
        <f>SUM('Mountaineer:Charles Town'!E7)</f>
        <v>9391719.0799999908</v>
      </c>
      <c r="F10" s="7">
        <f>SUM('Mountaineer:Charles Town'!F7)</f>
        <v>375668.76</v>
      </c>
      <c r="G10" s="7">
        <f>SUM('Mountaineer:Charles Town'!G7)</f>
        <v>0</v>
      </c>
      <c r="H10" s="7">
        <f>SUM('Mountaineer:Charles Town'!H7)</f>
        <v>9016050.319999991</v>
      </c>
      <c r="I10" s="7">
        <f>SUM('Mountaineer:Charles Town'!I7)</f>
        <v>0</v>
      </c>
      <c r="J10" s="7">
        <f>SUM('Mountaineer:Charles Town'!J7)</f>
        <v>0</v>
      </c>
      <c r="K10" s="7">
        <f>SUM('Mountaineer:Charles Town'!K7)</f>
        <v>0</v>
      </c>
      <c r="L10" s="18">
        <f>SUM('Mountaineer:Charles Town'!L7)</f>
        <v>9016050.319999991</v>
      </c>
      <c r="M10" s="7">
        <f>SUM('Mountaineer:Charles Town'!M7)</f>
        <v>4192463.4</v>
      </c>
      <c r="N10" s="7">
        <f>SUM('Mountaineer:Charles Town'!N7)</f>
        <v>2704815.0700000003</v>
      </c>
      <c r="O10" s="7">
        <f>SUM('Mountaineer:Charles Town'!O7)</f>
        <v>1113893.75</v>
      </c>
      <c r="P10" s="7">
        <f>SUM('Mountaineer:Charles Town'!P7)</f>
        <v>604797.16999999993</v>
      </c>
      <c r="Q10" s="7">
        <f>SUM('Mountaineer:Charles Town'!Q7)</f>
        <v>90160.510000000009</v>
      </c>
      <c r="R10" s="7">
        <f>SUM('Mountaineer:Charles Town'!R7)</f>
        <v>64799.7</v>
      </c>
      <c r="S10" s="7">
        <f>SUM('Mountaineer:Charles Town'!S7)</f>
        <v>64799.7</v>
      </c>
      <c r="T10" s="7">
        <f>SUM('Mountaineer:Charles Town'!T7)</f>
        <v>165405.95000000001</v>
      </c>
      <c r="U10" s="7">
        <f>SUM('Mountaineer:Charles Town'!U7)</f>
        <v>14915.07</v>
      </c>
      <c r="V10" s="7">
        <f>SUM('Mountaineer:Charles Town'!V7)</f>
        <v>7972.2480774504565</v>
      </c>
      <c r="W10" s="5">
        <f>SUM('Mountaineer:Charles Town'!W7)</f>
        <v>4351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Mountaineer!A8</f>
        <v>45857</v>
      </c>
      <c r="B11" s="7">
        <f>SUM('Mountaineer:Charles Town'!B8)</f>
        <v>115485386.48</v>
      </c>
      <c r="C11" s="7">
        <f>SUM('Mountaineer:Charles Town'!C8)</f>
        <v>103784007.73999999</v>
      </c>
      <c r="D11" s="7">
        <f>SUM('Mountaineer:Charles Town'!D8)</f>
        <v>1985708.8800000004</v>
      </c>
      <c r="E11" s="7">
        <f>SUM('Mountaineer:Charles Town'!E8)</f>
        <v>9715669.8600000031</v>
      </c>
      <c r="F11" s="7">
        <f>SUM('Mountaineer:Charles Town'!F8)</f>
        <v>388626.8</v>
      </c>
      <c r="G11" s="7">
        <f>SUM('Mountaineer:Charles Town'!G8)</f>
        <v>0</v>
      </c>
      <c r="H11" s="7">
        <f>SUM('Mountaineer:Charles Town'!H8)</f>
        <v>9327043.0600000024</v>
      </c>
      <c r="I11" s="7">
        <f>SUM('Mountaineer:Charles Town'!I8)</f>
        <v>0</v>
      </c>
      <c r="J11" s="7">
        <f>SUM('Mountaineer:Charles Town'!J8)</f>
        <v>0</v>
      </c>
      <c r="K11" s="7">
        <f>SUM('Mountaineer:Charles Town'!K8)</f>
        <v>0</v>
      </c>
      <c r="L11" s="18">
        <f>SUM('Mountaineer:Charles Town'!L8)</f>
        <v>9327043.0600000024</v>
      </c>
      <c r="M11" s="7">
        <f>SUM('Mountaineer:Charles Town'!M8)</f>
        <v>4337075.0199999996</v>
      </c>
      <c r="N11" s="7">
        <f>SUM('Mountaineer:Charles Town'!N8)</f>
        <v>2798112.92</v>
      </c>
      <c r="O11" s="7">
        <f>SUM('Mountaineer:Charles Town'!O8)</f>
        <v>1119245.17</v>
      </c>
      <c r="P11" s="7">
        <f>SUM('Mountaineer:Charles Town'!P8)</f>
        <v>652893.02</v>
      </c>
      <c r="Q11" s="7">
        <f>SUM('Mountaineer:Charles Town'!Q8)</f>
        <v>93270.43</v>
      </c>
      <c r="R11" s="7">
        <f>SUM('Mountaineer:Charles Town'!R8)</f>
        <v>69952.820000000007</v>
      </c>
      <c r="S11" s="7">
        <f>SUM('Mountaineer:Charles Town'!S8)</f>
        <v>69952.820000000007</v>
      </c>
      <c r="T11" s="7">
        <f>SUM('Mountaineer:Charles Town'!T8)</f>
        <v>171372.07</v>
      </c>
      <c r="U11" s="7">
        <f>SUM('Mountaineer:Charles Town'!U8)</f>
        <v>15168.79</v>
      </c>
      <c r="V11" s="7">
        <f>SUM('Mountaineer:Charles Town'!V8)</f>
        <v>8273.8421834268811</v>
      </c>
      <c r="W11" s="5">
        <f>SUM('Mountaineer:Charles Town'!W8)</f>
        <v>4328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Mountaineer!A9</f>
        <v>45864</v>
      </c>
      <c r="B12" s="7">
        <f>SUM('Mountaineer:Charles Town'!B9)</f>
        <v>119318232.44</v>
      </c>
      <c r="C12" s="7">
        <f>SUM('Mountaineer:Charles Town'!C9)</f>
        <v>108001731.36</v>
      </c>
      <c r="D12" s="7">
        <f>SUM('Mountaineer:Charles Town'!D9)</f>
        <v>2091789.4100000001</v>
      </c>
      <c r="E12" s="7">
        <f>SUM('Mountaineer:Charles Town'!E9)</f>
        <v>9224711.6699999943</v>
      </c>
      <c r="F12" s="7">
        <f>SUM('Mountaineer:Charles Town'!F9)</f>
        <v>368988.45999999996</v>
      </c>
      <c r="G12" s="7">
        <f>SUM('Mountaineer:Charles Town'!G9)</f>
        <v>0</v>
      </c>
      <c r="H12" s="7">
        <f>SUM('Mountaineer:Charles Town'!H9)</f>
        <v>8855723.2099999934</v>
      </c>
      <c r="I12" s="7">
        <f>SUM('Mountaineer:Charles Town'!I9)</f>
        <v>0</v>
      </c>
      <c r="J12" s="7">
        <f>SUM('Mountaineer:Charles Town'!J9)</f>
        <v>0</v>
      </c>
      <c r="K12" s="7">
        <f>SUM('Mountaineer:Charles Town'!K9)</f>
        <v>0</v>
      </c>
      <c r="L12" s="18">
        <f>SUM('Mountaineer:Charles Town'!L9)</f>
        <v>8855723.2099999934</v>
      </c>
      <c r="M12" s="7">
        <f>SUM('Mountaineer:Charles Town'!M9)</f>
        <v>4117911.29</v>
      </c>
      <c r="N12" s="7">
        <f>SUM('Mountaineer:Charles Town'!N9)</f>
        <v>2656716.98</v>
      </c>
      <c r="O12" s="7">
        <f>SUM('Mountaineer:Charles Town'!O9)</f>
        <v>1062686.77</v>
      </c>
      <c r="P12" s="7">
        <f>SUM('Mountaineer:Charles Town'!P9)</f>
        <v>619900.64</v>
      </c>
      <c r="Q12" s="7">
        <f>SUM('Mountaineer:Charles Town'!Q9)</f>
        <v>88557.23000000001</v>
      </c>
      <c r="R12" s="7">
        <f>SUM('Mountaineer:Charles Town'!R9)</f>
        <v>66417.919999999998</v>
      </c>
      <c r="S12" s="7">
        <f>SUM('Mountaineer:Charles Town'!S9)</f>
        <v>66417.919999999998</v>
      </c>
      <c r="T12" s="7">
        <f>SUM('Mountaineer:Charles Town'!T9)</f>
        <v>163368.25</v>
      </c>
      <c r="U12" s="7">
        <f>SUM('Mountaineer:Charles Town'!U9)</f>
        <v>13746.21</v>
      </c>
      <c r="V12" s="7">
        <f>SUM('Mountaineer:Charles Town'!V9)</f>
        <v>7701.0528003201489</v>
      </c>
      <c r="W12" s="5">
        <f>SUM('Mountaineer:Charles Town'!W9)</f>
        <v>4286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Mountaineer!A10</f>
        <v>45871</v>
      </c>
      <c r="B13" s="7">
        <f>SUM('Mountaineer:Charles Town'!B10)</f>
        <v>117921911.25</v>
      </c>
      <c r="C13" s="7">
        <f>SUM('Mountaineer:Charles Town'!C10)</f>
        <v>106374735</v>
      </c>
      <c r="D13" s="7">
        <f>SUM('Mountaineer:Charles Town'!D10)</f>
        <v>1986191.07</v>
      </c>
      <c r="E13" s="7">
        <f>SUM('Mountaineer:Charles Town'!E10)</f>
        <v>9560985.179999996</v>
      </c>
      <c r="F13" s="7">
        <f>SUM('Mountaineer:Charles Town'!F10)</f>
        <v>382439.41000000003</v>
      </c>
      <c r="G13" s="7">
        <f>SUM('Mountaineer:Charles Town'!G10)</f>
        <v>0</v>
      </c>
      <c r="H13" s="7">
        <f>SUM('Mountaineer:Charles Town'!H10)</f>
        <v>9178545.7699999958</v>
      </c>
      <c r="I13" s="7">
        <f>SUM('Mountaineer:Charles Town'!I10)</f>
        <v>0</v>
      </c>
      <c r="J13" s="7">
        <f>SUM('Mountaineer:Charles Town'!J10)</f>
        <v>0</v>
      </c>
      <c r="K13" s="7">
        <f>SUM('Mountaineer:Charles Town'!K10)</f>
        <v>0</v>
      </c>
      <c r="L13" s="18">
        <f>SUM('Mountaineer:Charles Town'!L10)</f>
        <v>9178545.7699999958</v>
      </c>
      <c r="M13" s="7">
        <f>SUM('Mountaineer:Charles Town'!M10)</f>
        <v>4268023.7799999993</v>
      </c>
      <c r="N13" s="7">
        <f>SUM('Mountaineer:Charles Town'!N10)</f>
        <v>2753563.7700000005</v>
      </c>
      <c r="O13" s="7">
        <f>SUM('Mountaineer:Charles Town'!O10)</f>
        <v>1101425.49</v>
      </c>
      <c r="P13" s="7">
        <f>SUM('Mountaineer:Charles Town'!P10)</f>
        <v>642498.19999999995</v>
      </c>
      <c r="Q13" s="7">
        <f>SUM('Mountaineer:Charles Town'!Q10)</f>
        <v>91785.45</v>
      </c>
      <c r="R13" s="7">
        <f>SUM('Mountaineer:Charles Town'!R10)</f>
        <v>68839.09</v>
      </c>
      <c r="S13" s="7">
        <f>SUM('Mountaineer:Charles Town'!S10)</f>
        <v>68839.09</v>
      </c>
      <c r="T13" s="7">
        <f>SUM('Mountaineer:Charles Town'!T10)</f>
        <v>169997.96</v>
      </c>
      <c r="U13" s="7">
        <f>SUM('Mountaineer:Charles Town'!U10)</f>
        <v>13572.94</v>
      </c>
      <c r="V13" s="7">
        <f>SUM('Mountaineer:Charles Town'!V10)</f>
        <v>7992.9146451027636</v>
      </c>
      <c r="W13" s="5">
        <f>SUM('Mountaineer:Charles Town'!W10)</f>
        <v>4295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Mountaineer!A11</f>
        <v>45878</v>
      </c>
      <c r="B14" s="7">
        <f>SUM('Mountaineer:Charles Town'!B11)</f>
        <v>115021423.75999999</v>
      </c>
      <c r="C14" s="7">
        <f>SUM('Mountaineer:Charles Town'!C11)</f>
        <v>103480787.12</v>
      </c>
      <c r="D14" s="7">
        <f>SUM('Mountaineer:Charles Town'!D11)</f>
        <v>2016337.94</v>
      </c>
      <c r="E14" s="7">
        <f>SUM('Mountaineer:Charles Town'!E11)</f>
        <v>9524298.6999999993</v>
      </c>
      <c r="F14" s="7">
        <f>SUM('Mountaineer:Charles Town'!F11)</f>
        <v>380971.94999999995</v>
      </c>
      <c r="G14" s="7">
        <f>SUM('Mountaineer:Charles Town'!G11)</f>
        <v>0</v>
      </c>
      <c r="H14" s="7">
        <f>SUM('Mountaineer:Charles Town'!H11)</f>
        <v>9143326.7499999981</v>
      </c>
      <c r="I14" s="7">
        <f>SUM('Mountaineer:Charles Town'!I11)</f>
        <v>0</v>
      </c>
      <c r="J14" s="7">
        <f>SUM('Mountaineer:Charles Town'!J11)</f>
        <v>0</v>
      </c>
      <c r="K14" s="7">
        <f>SUM('Mountaineer:Charles Town'!K11)</f>
        <v>0</v>
      </c>
      <c r="L14" s="18">
        <f>SUM('Mountaineer:Charles Town'!L11)</f>
        <v>9143326.7499999981</v>
      </c>
      <c r="M14" s="7">
        <f>SUM('Mountaineer:Charles Town'!M11)</f>
        <v>4251646.9399999995</v>
      </c>
      <c r="N14" s="7">
        <f>SUM('Mountaineer:Charles Town'!N11)</f>
        <v>2742998.02</v>
      </c>
      <c r="O14" s="7">
        <f>SUM('Mountaineer:Charles Town'!O11)</f>
        <v>1097199.21</v>
      </c>
      <c r="P14" s="7">
        <f>SUM('Mountaineer:Charles Town'!P11)</f>
        <v>640032.87</v>
      </c>
      <c r="Q14" s="7">
        <f>SUM('Mountaineer:Charles Town'!Q11)</f>
        <v>91433.26999999999</v>
      </c>
      <c r="R14" s="7">
        <f>SUM('Mountaineer:Charles Town'!R11)</f>
        <v>68574.95</v>
      </c>
      <c r="S14" s="7">
        <f>SUM('Mountaineer:Charles Town'!S11)</f>
        <v>68574.95</v>
      </c>
      <c r="T14" s="7">
        <f>SUM('Mountaineer:Charles Town'!T11)</f>
        <v>168817.33</v>
      </c>
      <c r="U14" s="7">
        <f>SUM('Mountaineer:Charles Town'!U11)</f>
        <v>14049.21</v>
      </c>
      <c r="V14" s="7">
        <f>SUM('Mountaineer:Charles Town'!V11)</f>
        <v>8022.9428619225255</v>
      </c>
      <c r="W14" s="5">
        <f>SUM('Mountaineer:Charles Town'!W11)</f>
        <v>4297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Mountaineer!A12</f>
        <v>45885</v>
      </c>
      <c r="B15" s="7">
        <f>SUM('Mountaineer:Charles Town'!B12)</f>
        <v>110050981.26000001</v>
      </c>
      <c r="C15" s="7">
        <f>SUM('Mountaineer:Charles Town'!C12)</f>
        <v>99167774.150000006</v>
      </c>
      <c r="D15" s="7">
        <f>SUM('Mountaineer:Charles Town'!D12)</f>
        <v>1872517.7399999998</v>
      </c>
      <c r="E15" s="7">
        <f>SUM('Mountaineer:Charles Town'!E12)</f>
        <v>9010689.3700000029</v>
      </c>
      <c r="F15" s="7">
        <f>SUM('Mountaineer:Charles Town'!F12)</f>
        <v>360427.57999999996</v>
      </c>
      <c r="G15" s="7">
        <f>SUM('Mountaineer:Charles Town'!G12)</f>
        <v>0</v>
      </c>
      <c r="H15" s="7">
        <f>SUM('Mountaineer:Charles Town'!H12)</f>
        <v>8650261.7900000028</v>
      </c>
      <c r="I15" s="7">
        <f>SUM('Mountaineer:Charles Town'!I12)</f>
        <v>0</v>
      </c>
      <c r="J15" s="7">
        <f>SUM('Mountaineer:Charles Town'!J12)</f>
        <v>0</v>
      </c>
      <c r="K15" s="7">
        <f>SUM('Mountaineer:Charles Town'!K12)</f>
        <v>0</v>
      </c>
      <c r="L15" s="18">
        <f>SUM('Mountaineer:Charles Town'!L12)</f>
        <v>8650261.7900000028</v>
      </c>
      <c r="M15" s="7">
        <f>SUM('Mountaineer:Charles Town'!M12)</f>
        <v>4022371.74</v>
      </c>
      <c r="N15" s="7">
        <f>SUM('Mountaineer:Charles Town'!N12)</f>
        <v>2595078.5299999998</v>
      </c>
      <c r="O15" s="7">
        <f>SUM('Mountaineer:Charles Town'!O12)</f>
        <v>1038031.4199999999</v>
      </c>
      <c r="P15" s="7">
        <f>SUM('Mountaineer:Charles Town'!P12)</f>
        <v>605518.32999999996</v>
      </c>
      <c r="Q15" s="7">
        <f>SUM('Mountaineer:Charles Town'!Q12)</f>
        <v>86502.61</v>
      </c>
      <c r="R15" s="7">
        <f>SUM('Mountaineer:Charles Town'!R12)</f>
        <v>64876.97</v>
      </c>
      <c r="S15" s="7">
        <f>SUM('Mountaineer:Charles Town'!S12)</f>
        <v>64876.97</v>
      </c>
      <c r="T15" s="7">
        <f>SUM('Mountaineer:Charles Town'!T12)</f>
        <v>159089.57</v>
      </c>
      <c r="U15" s="7">
        <f>SUM('Mountaineer:Charles Town'!U12)</f>
        <v>13915.65</v>
      </c>
      <c r="V15" s="7">
        <f>SUM('Mountaineer:Charles Town'!V12)</f>
        <v>7532.1335230501099</v>
      </c>
      <c r="W15" s="5">
        <f>SUM('Mountaineer:Charles Town'!W12)</f>
        <v>4327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Mountaineer!A13</f>
        <v>45892</v>
      </c>
      <c r="B16" s="7">
        <f>SUM('Mountaineer:Charles Town'!B13)</f>
        <v>114003552.69999999</v>
      </c>
      <c r="C16" s="7">
        <f>SUM('Mountaineer:Charles Town'!C13)</f>
        <v>102915558.43000001</v>
      </c>
      <c r="D16" s="7">
        <f>SUM('Mountaineer:Charles Town'!D13)</f>
        <v>2075867.59</v>
      </c>
      <c r="E16" s="7">
        <f>SUM('Mountaineer:Charles Town'!E13)</f>
        <v>9012126.6799999867</v>
      </c>
      <c r="F16" s="7">
        <f>SUM('Mountaineer:Charles Town'!F13)</f>
        <v>360485.07999999996</v>
      </c>
      <c r="G16" s="7">
        <f>SUM('Mountaineer:Charles Town'!G13)</f>
        <v>0</v>
      </c>
      <c r="H16" s="7">
        <f>SUM('Mountaineer:Charles Town'!H13)</f>
        <v>8651641.5999999866</v>
      </c>
      <c r="I16" s="7">
        <f>SUM('Mountaineer:Charles Town'!I13)</f>
        <v>0</v>
      </c>
      <c r="J16" s="7">
        <f>SUM('Mountaineer:Charles Town'!J13)</f>
        <v>0</v>
      </c>
      <c r="K16" s="7">
        <f>SUM('Mountaineer:Charles Town'!K13)</f>
        <v>0</v>
      </c>
      <c r="L16" s="18">
        <f>SUM('Mountaineer:Charles Town'!L13)</f>
        <v>8651641.5999999866</v>
      </c>
      <c r="M16" s="7">
        <f>SUM('Mountaineer:Charles Town'!M13)</f>
        <v>4023013.34</v>
      </c>
      <c r="N16" s="7">
        <f>SUM('Mountaineer:Charles Town'!N13)</f>
        <v>2595492.48</v>
      </c>
      <c r="O16" s="7">
        <f>SUM('Mountaineer:Charles Town'!O13)</f>
        <v>1038196.98</v>
      </c>
      <c r="P16" s="7">
        <f>SUM('Mountaineer:Charles Town'!P13)</f>
        <v>605614.9</v>
      </c>
      <c r="Q16" s="7">
        <f>SUM('Mountaineer:Charles Town'!Q13)</f>
        <v>86516.42</v>
      </c>
      <c r="R16" s="7">
        <f>SUM('Mountaineer:Charles Town'!R13)</f>
        <v>64887.32</v>
      </c>
      <c r="S16" s="7">
        <f>SUM('Mountaineer:Charles Town'!S13)</f>
        <v>64887.32</v>
      </c>
      <c r="T16" s="7">
        <f>SUM('Mountaineer:Charles Town'!T13)</f>
        <v>158653.12</v>
      </c>
      <c r="U16" s="7">
        <f>SUM('Mountaineer:Charles Town'!U13)</f>
        <v>14379.72</v>
      </c>
      <c r="V16" s="7">
        <f>SUM('Mountaineer:Charles Town'!V13)</f>
        <v>7528.3833648834152</v>
      </c>
      <c r="W16" s="5">
        <f>SUM('Mountaineer:Charles Town'!W13)</f>
        <v>4292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Mountaineer!A14</f>
        <v>45899</v>
      </c>
      <c r="B17" s="7">
        <f>SUM('Mountaineer:Charles Town'!B14)</f>
        <v>119469526.56999999</v>
      </c>
      <c r="C17" s="7">
        <f>SUM('Mountaineer:Charles Town'!C14)</f>
        <v>108059385.33000001</v>
      </c>
      <c r="D17" s="7">
        <f>SUM('Mountaineer:Charles Town'!D14)</f>
        <v>1971589.0799999998</v>
      </c>
      <c r="E17" s="7">
        <f>SUM('Mountaineer:Charles Town'!E14)</f>
        <v>9438552.1599999797</v>
      </c>
      <c r="F17" s="7">
        <f>SUM('Mountaineer:Charles Town'!F14)</f>
        <v>377542.07</v>
      </c>
      <c r="G17" s="7">
        <f>SUM('Mountaineer:Charles Town'!G14)</f>
        <v>0</v>
      </c>
      <c r="H17" s="7">
        <f>SUM('Mountaineer:Charles Town'!H14)</f>
        <v>9061010.0899999794</v>
      </c>
      <c r="I17" s="7">
        <f>SUM('Mountaineer:Charles Town'!I14)</f>
        <v>0</v>
      </c>
      <c r="J17" s="7">
        <f>SUM('Mountaineer:Charles Town'!J14)</f>
        <v>0</v>
      </c>
      <c r="K17" s="7">
        <f>SUM('Mountaineer:Charles Town'!K14)</f>
        <v>0</v>
      </c>
      <c r="L17" s="18">
        <f>SUM('Mountaineer:Charles Town'!L14)</f>
        <v>9061010.0899999794</v>
      </c>
      <c r="M17" s="7">
        <f>SUM('Mountaineer:Charles Town'!M14)</f>
        <v>4213369.7</v>
      </c>
      <c r="N17" s="7">
        <f>SUM('Mountaineer:Charles Town'!N14)</f>
        <v>2718303.04</v>
      </c>
      <c r="O17" s="7">
        <f>SUM('Mountaineer:Charles Town'!O14)</f>
        <v>1087321.21</v>
      </c>
      <c r="P17" s="7">
        <f>SUM('Mountaineer:Charles Town'!P14)</f>
        <v>634270.69999999995</v>
      </c>
      <c r="Q17" s="7">
        <f>SUM('Mountaineer:Charles Town'!Q14)</f>
        <v>90610.1</v>
      </c>
      <c r="R17" s="7">
        <f>SUM('Mountaineer:Charles Town'!R14)</f>
        <v>67957.569999999992</v>
      </c>
      <c r="S17" s="7">
        <f>SUM('Mountaineer:Charles Town'!S14)</f>
        <v>67957.569999999992</v>
      </c>
      <c r="T17" s="7">
        <f>SUM('Mountaineer:Charles Town'!T14)</f>
        <v>166527.16999999998</v>
      </c>
      <c r="U17" s="7">
        <f>SUM('Mountaineer:Charles Town'!U14)</f>
        <v>14693.03</v>
      </c>
      <c r="V17" s="7">
        <f>SUM('Mountaineer:Charles Town'!V14)</f>
        <v>7969.334897885502</v>
      </c>
      <c r="W17" s="5">
        <f>SUM('Mountaineer:Charles Town'!W14)</f>
        <v>4292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Mountaineer!A15</f>
        <v>45906</v>
      </c>
      <c r="B18" s="7">
        <f>SUM('Mountaineer:Charles Town'!B15)</f>
        <v>125970210.38</v>
      </c>
      <c r="C18" s="7">
        <f>SUM('Mountaineer:Charles Town'!C15)</f>
        <v>113731396.77</v>
      </c>
      <c r="D18" s="7">
        <f>SUM('Mountaineer:Charles Town'!D15)</f>
        <v>2291043.19</v>
      </c>
      <c r="E18" s="7">
        <f>SUM('Mountaineer:Charles Town'!E15)</f>
        <v>9947770.4200000018</v>
      </c>
      <c r="F18" s="7">
        <f>SUM('Mountaineer:Charles Town'!F15)</f>
        <v>397910.8</v>
      </c>
      <c r="G18" s="7">
        <f>SUM('Mountaineer:Charles Town'!G15)</f>
        <v>0</v>
      </c>
      <c r="H18" s="7">
        <f>SUM('Mountaineer:Charles Town'!H15)</f>
        <v>9549859.620000001</v>
      </c>
      <c r="I18" s="7">
        <f>SUM('Mountaineer:Charles Town'!I15)</f>
        <v>0</v>
      </c>
      <c r="J18" s="7">
        <f>SUM('Mountaineer:Charles Town'!J15)</f>
        <v>0</v>
      </c>
      <c r="K18" s="7">
        <f>SUM('Mountaineer:Charles Town'!K15)</f>
        <v>0</v>
      </c>
      <c r="L18" s="18">
        <f>SUM('Mountaineer:Charles Town'!L15)</f>
        <v>9549859.620000001</v>
      </c>
      <c r="M18" s="7">
        <f>SUM('Mountaineer:Charles Town'!M15)</f>
        <v>4440684.7200000007</v>
      </c>
      <c r="N18" s="7">
        <f>SUM('Mountaineer:Charles Town'!N15)</f>
        <v>2864957.84</v>
      </c>
      <c r="O18" s="7">
        <f>SUM('Mountaineer:Charles Town'!O15)</f>
        <v>1145983.1600000001</v>
      </c>
      <c r="P18" s="7">
        <f>SUM('Mountaineer:Charles Town'!P15)</f>
        <v>668490.17999999993</v>
      </c>
      <c r="Q18" s="7">
        <f>SUM('Mountaineer:Charles Town'!Q15)</f>
        <v>95498.6</v>
      </c>
      <c r="R18" s="7">
        <f>SUM('Mountaineer:Charles Town'!R15)</f>
        <v>71623.959999999992</v>
      </c>
      <c r="S18" s="7">
        <f>SUM('Mountaineer:Charles Town'!S15)</f>
        <v>71623.959999999992</v>
      </c>
      <c r="T18" s="7">
        <f>SUM('Mountaineer:Charles Town'!T15)</f>
        <v>141777.39000000001</v>
      </c>
      <c r="U18" s="7">
        <f>SUM('Mountaineer:Charles Town'!U15)</f>
        <v>49219.81</v>
      </c>
      <c r="V18" s="7">
        <f>SUM('Mountaineer:Charles Town'!V15)</f>
        <v>8385.5561443511378</v>
      </c>
      <c r="W18" s="5">
        <f>SUM('Mountaineer:Charles Town'!W15)</f>
        <v>4294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Mountaineer!A16</f>
        <v>45913</v>
      </c>
      <c r="B19" s="7">
        <f>SUM('Mountaineer:Charles Town'!B16)</f>
        <v>104694554.96000001</v>
      </c>
      <c r="C19" s="7">
        <f>SUM('Mountaineer:Charles Town'!C16)</f>
        <v>94196018.199999988</v>
      </c>
      <c r="D19" s="7">
        <f>SUM('Mountaineer:Charles Town'!D16)</f>
        <v>1800982.48</v>
      </c>
      <c r="E19" s="7">
        <f>SUM('Mountaineer:Charles Town'!E16)</f>
        <v>8697554.2800000068</v>
      </c>
      <c r="F19" s="7">
        <f>SUM('Mountaineer:Charles Town'!F16)</f>
        <v>347902.19000000006</v>
      </c>
      <c r="G19" s="7">
        <f>SUM('Mountaineer:Charles Town'!G16)</f>
        <v>0</v>
      </c>
      <c r="H19" s="7">
        <f>SUM('Mountaineer:Charles Town'!H16)</f>
        <v>8349652.0900000073</v>
      </c>
      <c r="I19" s="7">
        <f>SUM('Mountaineer:Charles Town'!I16)</f>
        <v>0</v>
      </c>
      <c r="J19" s="7">
        <f>SUM('Mountaineer:Charles Town'!J16)</f>
        <v>0</v>
      </c>
      <c r="K19" s="7">
        <f>SUM('Mountaineer:Charles Town'!K16)</f>
        <v>0</v>
      </c>
      <c r="L19" s="18">
        <f>SUM('Mountaineer:Charles Town'!L16)</f>
        <v>8349652.0900000073</v>
      </c>
      <c r="M19" s="7">
        <f>SUM('Mountaineer:Charles Town'!M16)</f>
        <v>3882588.23</v>
      </c>
      <c r="N19" s="7">
        <f>SUM('Mountaineer:Charles Town'!N16)</f>
        <v>2504895.62</v>
      </c>
      <c r="O19" s="7">
        <f>SUM('Mountaineer:Charles Town'!O16)</f>
        <v>1001958.24</v>
      </c>
      <c r="P19" s="7">
        <f>SUM('Mountaineer:Charles Town'!P16)</f>
        <v>584475.65999999992</v>
      </c>
      <c r="Q19" s="7">
        <f>SUM('Mountaineer:Charles Town'!Q16)</f>
        <v>83496.51999999999</v>
      </c>
      <c r="R19" s="7">
        <f>SUM('Mountaineer:Charles Town'!R16)</f>
        <v>62622.39</v>
      </c>
      <c r="S19" s="7">
        <f>SUM('Mountaineer:Charles Town'!S16)</f>
        <v>62622.39</v>
      </c>
      <c r="T19" s="7">
        <f>SUM('Mountaineer:Charles Town'!T16)</f>
        <v>108721.33</v>
      </c>
      <c r="U19" s="7">
        <f>SUM('Mountaineer:Charles Town'!U16)</f>
        <v>58271.71</v>
      </c>
      <c r="V19" s="7">
        <f>SUM('Mountaineer:Charles Town'!V16)</f>
        <v>7443.293446712989</v>
      </c>
      <c r="W19" s="5">
        <f>SUM('Mountaineer:Charles Town'!W16)</f>
        <v>4233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Mountaineer!A17</f>
        <v>45920</v>
      </c>
      <c r="B20" s="7">
        <f>SUM('Mountaineer:Charles Town'!B17)</f>
        <v>112206057.63</v>
      </c>
      <c r="C20" s="7">
        <f>SUM('Mountaineer:Charles Town'!C17)</f>
        <v>100954739.81999999</v>
      </c>
      <c r="D20" s="7">
        <f>SUM('Mountaineer:Charles Town'!D17)</f>
        <v>1879785.27</v>
      </c>
      <c r="E20" s="7">
        <f>SUM('Mountaineer:Charles Town'!E17)</f>
        <v>9371532.5399999935</v>
      </c>
      <c r="F20" s="7">
        <f>SUM('Mountaineer:Charles Town'!F17)</f>
        <v>374861.31000000006</v>
      </c>
      <c r="G20" s="7">
        <f>SUM('Mountaineer:Charles Town'!G17)</f>
        <v>0</v>
      </c>
      <c r="H20" s="7">
        <f>SUM('Mountaineer:Charles Town'!H17)</f>
        <v>8996671.229999993</v>
      </c>
      <c r="I20" s="7">
        <f>SUM('Mountaineer:Charles Town'!I17)</f>
        <v>0</v>
      </c>
      <c r="J20" s="7">
        <f>SUM('Mountaineer:Charles Town'!J17)</f>
        <v>0</v>
      </c>
      <c r="K20" s="7">
        <f>SUM('Mountaineer:Charles Town'!K17)</f>
        <v>0</v>
      </c>
      <c r="L20" s="18">
        <f>SUM('Mountaineer:Charles Town'!L17)</f>
        <v>8996671.229999993</v>
      </c>
      <c r="M20" s="7">
        <f>SUM('Mountaineer:Charles Town'!M17)</f>
        <v>4183452.13</v>
      </c>
      <c r="N20" s="7">
        <f>SUM('Mountaineer:Charles Town'!N17)</f>
        <v>2699001.37</v>
      </c>
      <c r="O20" s="7">
        <f>SUM('Mountaineer:Charles Town'!O17)</f>
        <v>1079600.55</v>
      </c>
      <c r="P20" s="7">
        <f>SUM('Mountaineer:Charles Town'!P17)</f>
        <v>629766.99</v>
      </c>
      <c r="Q20" s="7">
        <f>SUM('Mountaineer:Charles Town'!Q17)</f>
        <v>89966.709999999992</v>
      </c>
      <c r="R20" s="7">
        <f>SUM('Mountaineer:Charles Town'!R17)</f>
        <v>67475.03</v>
      </c>
      <c r="S20" s="7">
        <f>SUM('Mountaineer:Charles Town'!S17)</f>
        <v>67475.03</v>
      </c>
      <c r="T20" s="7">
        <f>SUM('Mountaineer:Charles Town'!T17)</f>
        <v>114404.86</v>
      </c>
      <c r="U20" s="7">
        <f>SUM('Mountaineer:Charles Town'!U17)</f>
        <v>65528.56</v>
      </c>
      <c r="V20" s="7">
        <f>SUM('Mountaineer:Charles Town'!V17)</f>
        <v>7901.7119169497164</v>
      </c>
      <c r="W20" s="5">
        <f>SUM('Mountaineer:Charles Town'!W17)</f>
        <v>4248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Mountaineer!A18</f>
        <v>45927</v>
      </c>
      <c r="B21" s="7">
        <f>SUM('Mountaineer:Charles Town'!B18)</f>
        <v>112417134.47999999</v>
      </c>
      <c r="C21" s="7">
        <f>SUM('Mountaineer:Charles Town'!C18)</f>
        <v>101099264.99000001</v>
      </c>
      <c r="D21" s="7">
        <f>SUM('Mountaineer:Charles Town'!D18)</f>
        <v>1849794.21</v>
      </c>
      <c r="E21" s="7">
        <f>SUM('Mountaineer:Charles Town'!E18)</f>
        <v>9468075.2799999975</v>
      </c>
      <c r="F21" s="7">
        <f>SUM('Mountaineer:Charles Town'!F18)</f>
        <v>378723.04000000004</v>
      </c>
      <c r="G21" s="7">
        <f>SUM('Mountaineer:Charles Town'!G18)</f>
        <v>0</v>
      </c>
      <c r="H21" s="7">
        <f>SUM('Mountaineer:Charles Town'!H18)</f>
        <v>9089352.2399999984</v>
      </c>
      <c r="I21" s="7">
        <f>SUM('Mountaineer:Charles Town'!I18)</f>
        <v>0</v>
      </c>
      <c r="J21" s="7">
        <f>SUM('Mountaineer:Charles Town'!J18)</f>
        <v>0</v>
      </c>
      <c r="K21" s="7">
        <f>SUM('Mountaineer:Charles Town'!K18)</f>
        <v>0</v>
      </c>
      <c r="L21" s="18">
        <f>SUM('Mountaineer:Charles Town'!L18)</f>
        <v>9089352.2399999984</v>
      </c>
      <c r="M21" s="7">
        <f>SUM('Mountaineer:Charles Town'!M18)</f>
        <v>4226548.79</v>
      </c>
      <c r="N21" s="7">
        <f>SUM('Mountaineer:Charles Town'!N18)</f>
        <v>2726805.66</v>
      </c>
      <c r="O21" s="7">
        <f>SUM('Mountaineer:Charles Town'!O18)</f>
        <v>1090722.27</v>
      </c>
      <c r="P21" s="7">
        <f>SUM('Mountaineer:Charles Town'!P18)</f>
        <v>636254.65999999992</v>
      </c>
      <c r="Q21" s="7">
        <f>SUM('Mountaineer:Charles Town'!Q18)</f>
        <v>90893.52</v>
      </c>
      <c r="R21" s="7">
        <f>SUM('Mountaineer:Charles Town'!R18)</f>
        <v>68170.149999999994</v>
      </c>
      <c r="S21" s="7">
        <f>SUM('Mountaineer:Charles Town'!S18)</f>
        <v>68170.149999999994</v>
      </c>
      <c r="T21" s="7">
        <f>SUM('Mountaineer:Charles Town'!T18)</f>
        <v>117829.53</v>
      </c>
      <c r="U21" s="7">
        <f>SUM('Mountaineer:Charles Town'!U18)</f>
        <v>63957.51</v>
      </c>
      <c r="V21" s="7">
        <f>SUM('Mountaineer:Charles Town'!V18)</f>
        <v>8182.5303254527716</v>
      </c>
      <c r="W21" s="5">
        <f>SUM('Mountaineer:Charles Town'!W18)</f>
        <v>4181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Mountaineer!A19</f>
        <v>45934</v>
      </c>
      <c r="B22" s="7">
        <f>SUM('Mountaineer:Charles Town'!B19)</f>
        <v>108462355.19</v>
      </c>
      <c r="C22" s="7">
        <f>SUM('Mountaineer:Charles Town'!C19)</f>
        <v>97944971.040000007</v>
      </c>
      <c r="D22" s="7">
        <f>SUM('Mountaineer:Charles Town'!D19)</f>
        <v>1980374.04</v>
      </c>
      <c r="E22" s="7">
        <f>SUM('Mountaineer:Charles Town'!E19)</f>
        <v>8537010.1099999957</v>
      </c>
      <c r="F22" s="7">
        <f>SUM('Mountaineer:Charles Town'!F19)</f>
        <v>341480.4</v>
      </c>
      <c r="G22" s="7">
        <f>SUM('Mountaineer:Charles Town'!G19)</f>
        <v>0</v>
      </c>
      <c r="H22" s="7">
        <f>SUM('Mountaineer:Charles Town'!H19)</f>
        <v>8195529.7099999953</v>
      </c>
      <c r="I22" s="7">
        <f>SUM('Mountaineer:Charles Town'!I19)</f>
        <v>0</v>
      </c>
      <c r="J22" s="7">
        <f>SUM('Mountaineer:Charles Town'!J19)</f>
        <v>0</v>
      </c>
      <c r="K22" s="7">
        <f>SUM('Mountaineer:Charles Town'!K19)</f>
        <v>0</v>
      </c>
      <c r="L22" s="18">
        <f>SUM('Mountaineer:Charles Town'!L19)</f>
        <v>8195529.7099999953</v>
      </c>
      <c r="M22" s="7">
        <f>SUM('Mountaineer:Charles Town'!M19)</f>
        <v>3810921.32</v>
      </c>
      <c r="N22" s="7">
        <f>SUM('Mountaineer:Charles Town'!N19)</f>
        <v>2458658.92</v>
      </c>
      <c r="O22" s="7">
        <f>SUM('Mountaineer:Charles Town'!O19)</f>
        <v>983463.56</v>
      </c>
      <c r="P22" s="7">
        <f>SUM('Mountaineer:Charles Town'!P19)</f>
        <v>573687.07999999996</v>
      </c>
      <c r="Q22" s="7">
        <f>SUM('Mountaineer:Charles Town'!Q19)</f>
        <v>81955.290000000008</v>
      </c>
      <c r="R22" s="7">
        <f>SUM('Mountaineer:Charles Town'!R19)</f>
        <v>61466.48</v>
      </c>
      <c r="S22" s="7">
        <f>SUM('Mountaineer:Charles Town'!S19)</f>
        <v>61466.48</v>
      </c>
      <c r="T22" s="7">
        <f>SUM('Mountaineer:Charles Town'!T19)</f>
        <v>105733.94</v>
      </c>
      <c r="U22" s="7">
        <f>SUM('Mountaineer:Charles Town'!U19)</f>
        <v>58176.639999999999</v>
      </c>
      <c r="V22" s="7">
        <f>SUM('Mountaineer:Charles Town'!V19)</f>
        <v>7464.3851556068894</v>
      </c>
      <c r="W22" s="5">
        <f>SUM('Mountaineer:Charles Town'!W19)</f>
        <v>4153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Mountaineer!A20</f>
        <v>45941</v>
      </c>
      <c r="B23" s="7">
        <f>SUM('Mountaineer:Charles Town'!B20)</f>
        <v>108540577.62</v>
      </c>
      <c r="C23" s="7">
        <f>SUM('Mountaineer:Charles Town'!C20)</f>
        <v>97958470.670000002</v>
      </c>
      <c r="D23" s="7">
        <f>SUM('Mountaineer:Charles Town'!D20)</f>
        <v>1863782.56</v>
      </c>
      <c r="E23" s="7">
        <f>SUM('Mountaineer:Charles Town'!E20)</f>
        <v>8718324.3900000043</v>
      </c>
      <c r="F23" s="7">
        <f>SUM('Mountaineer:Charles Town'!F20)</f>
        <v>348732.99</v>
      </c>
      <c r="G23" s="7">
        <f>SUM('Mountaineer:Charles Town'!G20)</f>
        <v>0</v>
      </c>
      <c r="H23" s="7">
        <f>SUM('Mountaineer:Charles Town'!H20)</f>
        <v>8369591.4000000041</v>
      </c>
      <c r="I23" s="7">
        <f>SUM('Mountaineer:Charles Town'!I20)</f>
        <v>0</v>
      </c>
      <c r="J23" s="7">
        <f>SUM('Mountaineer:Charles Town'!J20)</f>
        <v>0</v>
      </c>
      <c r="K23" s="7">
        <f>SUM('Mountaineer:Charles Town'!K20)</f>
        <v>0</v>
      </c>
      <c r="L23" s="18">
        <f>SUM('Mountaineer:Charles Town'!L20)</f>
        <v>8369591.4000000041</v>
      </c>
      <c r="M23" s="7">
        <f>SUM('Mountaineer:Charles Town'!M20)</f>
        <v>3891860</v>
      </c>
      <c r="N23" s="7">
        <f>SUM('Mountaineer:Charles Town'!N20)</f>
        <v>2510877.4500000002</v>
      </c>
      <c r="O23" s="7">
        <f>SUM('Mountaineer:Charles Town'!O20)</f>
        <v>1004350.96</v>
      </c>
      <c r="P23" s="7">
        <f>SUM('Mountaineer:Charles Town'!P20)</f>
        <v>585871.4</v>
      </c>
      <c r="Q23" s="7">
        <f>SUM('Mountaineer:Charles Town'!Q20)</f>
        <v>83695.91</v>
      </c>
      <c r="R23" s="7">
        <f>SUM('Mountaineer:Charles Town'!R20)</f>
        <v>62771.929999999993</v>
      </c>
      <c r="S23" s="7">
        <f>SUM('Mountaineer:Charles Town'!S20)</f>
        <v>62771.929999999993</v>
      </c>
      <c r="T23" s="7">
        <f>SUM('Mountaineer:Charles Town'!T20)</f>
        <v>108814.49</v>
      </c>
      <c r="U23" s="7">
        <f>SUM('Mountaineer:Charles Town'!U20)</f>
        <v>58577.33</v>
      </c>
      <c r="V23" s="7">
        <f>SUM('Mountaineer:Charles Town'!V20)</f>
        <v>7762.9039692228398</v>
      </c>
      <c r="W23" s="5">
        <f>SUM('Mountaineer:Charles Town'!W20)</f>
        <v>4084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Mountaineer!A21</f>
        <v>45948</v>
      </c>
      <c r="B24" s="7">
        <f>SUM('Mountaineer:Charles Town'!B21)</f>
        <v>112130414.41</v>
      </c>
      <c r="C24" s="7">
        <f>SUM('Mountaineer:Charles Town'!C21)</f>
        <v>100839705.45</v>
      </c>
      <c r="D24" s="7">
        <f>SUM('Mountaineer:Charles Town'!D21)</f>
        <v>2051602.12</v>
      </c>
      <c r="E24" s="7">
        <f>SUM('Mountaineer:Charles Town'!E21)</f>
        <v>9239106.8399999961</v>
      </c>
      <c r="F24" s="7">
        <f>SUM('Mountaineer:Charles Town'!F21)</f>
        <v>369564.26</v>
      </c>
      <c r="G24" s="7">
        <f>SUM('Mountaineer:Charles Town'!G21)</f>
        <v>0</v>
      </c>
      <c r="H24" s="7">
        <f>SUM('Mountaineer:Charles Town'!H21)</f>
        <v>8869542.5799999982</v>
      </c>
      <c r="I24" s="7">
        <f>SUM('Mountaineer:Charles Town'!I21)</f>
        <v>0</v>
      </c>
      <c r="J24" s="7">
        <f>SUM('Mountaineer:Charles Town'!J21)</f>
        <v>0</v>
      </c>
      <c r="K24" s="7">
        <f>SUM('Mountaineer:Charles Town'!K21)</f>
        <v>0</v>
      </c>
      <c r="L24" s="18">
        <f>SUM('Mountaineer:Charles Town'!L21)</f>
        <v>8869542.5799999982</v>
      </c>
      <c r="M24" s="7">
        <f>SUM('Mountaineer:Charles Town'!M21)</f>
        <v>4124337.31</v>
      </c>
      <c r="N24" s="7">
        <f>SUM('Mountaineer:Charles Town'!N21)</f>
        <v>2660862.77</v>
      </c>
      <c r="O24" s="7">
        <f>SUM('Mountaineer:Charles Town'!O21)</f>
        <v>1064345.1199999999</v>
      </c>
      <c r="P24" s="7">
        <f>SUM('Mountaineer:Charles Town'!P21)</f>
        <v>620867.98</v>
      </c>
      <c r="Q24" s="7">
        <f>SUM('Mountaineer:Charles Town'!Q21)</f>
        <v>88695.420000000013</v>
      </c>
      <c r="R24" s="7">
        <f>SUM('Mountaineer:Charles Town'!R21)</f>
        <v>66521.570000000007</v>
      </c>
      <c r="S24" s="7">
        <f>SUM('Mountaineer:Charles Town'!S21)</f>
        <v>66521.570000000007</v>
      </c>
      <c r="T24" s="7">
        <f>SUM('Mountaineer:Charles Town'!T21)</f>
        <v>115660.84</v>
      </c>
      <c r="U24" s="7">
        <f>SUM('Mountaineer:Charles Town'!U21)</f>
        <v>61730</v>
      </c>
      <c r="V24" s="7">
        <f>SUM('Mountaineer:Charles Town'!V21)</f>
        <v>8210.2255462433404</v>
      </c>
      <c r="W24" s="5">
        <f>SUM('Mountaineer:Charles Town'!W21)</f>
        <v>4118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6" spans="1:96" ht="15" customHeight="1" thickBot="1" x14ac:dyDescent="0.3">
      <c r="B26" s="11">
        <f t="shared" ref="B26:U26" si="0">SUM(B9:B25)</f>
        <v>1803428385.49</v>
      </c>
      <c r="C26" s="11">
        <f t="shared" si="0"/>
        <v>1625257411.25</v>
      </c>
      <c r="D26" s="11">
        <f t="shared" si="0"/>
        <v>31407876.52</v>
      </c>
      <c r="E26" s="11">
        <f t="shared" si="0"/>
        <v>146763097.71999997</v>
      </c>
      <c r="F26" s="11">
        <f t="shared" si="0"/>
        <v>5870523.9500000002</v>
      </c>
      <c r="G26" s="11">
        <f t="shared" si="0"/>
        <v>0</v>
      </c>
      <c r="H26" s="11">
        <f t="shared" si="0"/>
        <v>140892573.76999992</v>
      </c>
      <c r="I26" s="11">
        <f t="shared" si="0"/>
        <v>0</v>
      </c>
      <c r="J26" s="11">
        <f t="shared" si="0"/>
        <v>0</v>
      </c>
      <c r="K26" s="11">
        <f t="shared" si="0"/>
        <v>0</v>
      </c>
      <c r="L26" s="11">
        <f t="shared" si="0"/>
        <v>140892573.76999992</v>
      </c>
      <c r="M26" s="11">
        <f t="shared" si="0"/>
        <v>65515046.829999998</v>
      </c>
      <c r="N26" s="11">
        <f t="shared" si="0"/>
        <v>42267772.120000012</v>
      </c>
      <c r="O26" s="11">
        <f t="shared" si="0"/>
        <v>17003581.100000001</v>
      </c>
      <c r="P26" s="11">
        <f t="shared" si="0"/>
        <v>9783032.4200000018</v>
      </c>
      <c r="Q26" s="11">
        <f t="shared" si="0"/>
        <v>1408925.72</v>
      </c>
      <c r="R26" s="11">
        <f t="shared" si="0"/>
        <v>1048182.0700000001</v>
      </c>
      <c r="S26" s="11">
        <f t="shared" si="0"/>
        <v>1048182.0700000001</v>
      </c>
      <c r="T26" s="11">
        <f t="shared" si="0"/>
        <v>2275210.3600000003</v>
      </c>
      <c r="U26" s="11">
        <f t="shared" si="0"/>
        <v>542641.08000000007</v>
      </c>
      <c r="V26" s="11">
        <f>AVERAGE(V9:V25)</f>
        <v>7807.47054008755</v>
      </c>
      <c r="W26" s="13">
        <f>AVERAGE(W9:W25)+1</f>
        <v>4261.0625</v>
      </c>
    </row>
    <row r="27" spans="1:96" ht="15" customHeight="1" thickTop="1" x14ac:dyDescent="0.25"/>
    <row r="28" spans="1:96" ht="15" customHeight="1" x14ac:dyDescent="0.25">
      <c r="A28" s="1" t="s">
        <v>32</v>
      </c>
    </row>
    <row r="29" spans="1:96" ht="15" customHeight="1" x14ac:dyDescent="0.25">
      <c r="A29" s="1" t="s">
        <v>4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R26"/>
  <sheetViews>
    <sheetView workbookViewId="0">
      <pane ySplit="3" topLeftCell="A4" activePane="bottomLeft" state="frozen"/>
      <selection pane="bottomLeft" activeCell="A23" sqref="A23"/>
    </sheetView>
  </sheetViews>
  <sheetFormatPr defaultRowHeight="15" customHeight="1" x14ac:dyDescent="0.25"/>
  <cols>
    <col min="1" max="1" width="11.7109375" customWidth="1"/>
    <col min="2" max="3" width="16.28515625" bestFit="1" customWidth="1"/>
    <col min="4" max="4" width="14.7109375" bestFit="1" customWidth="1"/>
    <col min="5" max="5" width="15.28515625" bestFit="1" customWidth="1"/>
    <col min="6" max="6" width="13.7109375" bestFit="1" customWidth="1"/>
    <col min="7" max="7" width="12.7109375" customWidth="1"/>
    <col min="8" max="8" width="15.28515625" bestFit="1" customWidth="1"/>
    <col min="9" max="9" width="11.5703125" hidden="1" customWidth="1"/>
    <col min="10" max="10" width="12.42578125" bestFit="1" customWidth="1"/>
    <col min="11" max="11" width="12.7109375" customWidth="1"/>
    <col min="12" max="12" width="15.28515625" bestFit="1" customWidth="1"/>
    <col min="13" max="13" width="16.7109375" customWidth="1"/>
    <col min="14" max="14" width="14.7109375" bestFit="1" customWidth="1"/>
    <col min="15" max="15" width="14.28515625" bestFit="1" customWidth="1"/>
    <col min="16" max="16" width="15" customWidth="1"/>
    <col min="17" max="21" width="12.5703125" bestFit="1" customWidth="1"/>
    <col min="22" max="22" width="10.5703125" bestFit="1" customWidth="1"/>
    <col min="23" max="23" width="13.5703125" bestFit="1" customWidth="1"/>
    <col min="24" max="24" width="10.5703125" bestFit="1" customWidth="1"/>
  </cols>
  <sheetData>
    <row r="1" spans="1:96" s="2" customFormat="1" ht="45" customHeight="1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28</v>
      </c>
      <c r="U1" s="2" t="s">
        <v>36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842428183.92000008</v>
      </c>
      <c r="C2" s="4">
        <v>748317383.51999986</v>
      </c>
      <c r="D2" s="4">
        <v>17262475</v>
      </c>
      <c r="E2" s="4">
        <v>76848325.400000021</v>
      </c>
      <c r="F2" s="4">
        <v>3073932.9699999993</v>
      </c>
      <c r="G2" s="4">
        <v>0</v>
      </c>
      <c r="H2" s="4">
        <v>73774392.430000022</v>
      </c>
      <c r="I2" s="4">
        <v>0</v>
      </c>
      <c r="J2" s="4">
        <v>0</v>
      </c>
      <c r="K2" s="4">
        <v>0</v>
      </c>
      <c r="L2" s="4">
        <v>73774392.430000022</v>
      </c>
      <c r="M2" s="4">
        <v>34305092.500000007</v>
      </c>
      <c r="N2" s="4">
        <v>22132317.870000001</v>
      </c>
      <c r="O2" s="4">
        <v>9480009.4299999997</v>
      </c>
      <c r="P2" s="4">
        <v>4647786.6999999983</v>
      </c>
      <c r="Q2" s="4">
        <v>737743.87000000023</v>
      </c>
      <c r="R2" s="4">
        <v>497977.15999999992</v>
      </c>
      <c r="S2" s="4">
        <v>497977.15999999992</v>
      </c>
      <c r="T2" s="4">
        <v>737743.88000000012</v>
      </c>
      <c r="U2" s="4">
        <v>737743.8600000001</v>
      </c>
      <c r="V2" s="16">
        <v>1433.8</v>
      </c>
      <c r="W2" s="8">
        <v>1011</v>
      </c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">
        <v>35</v>
      </c>
      <c r="B6" s="7">
        <v>14290992.810000001</v>
      </c>
      <c r="C6" s="7">
        <v>12671117.34</v>
      </c>
      <c r="D6" s="7">
        <v>292907</v>
      </c>
      <c r="E6" s="7">
        <f t="shared" ref="E6" si="0">B6-C6-D6</f>
        <v>1326968.4700000007</v>
      </c>
      <c r="F6" s="7">
        <f>ROUND(E6*0.04,2)</f>
        <v>53078.74</v>
      </c>
      <c r="G6" s="7">
        <f t="shared" ref="G6" si="1">ROUND(E6*0,2)</f>
        <v>0</v>
      </c>
      <c r="H6" s="7">
        <f t="shared" ref="H6" si="2">E6-F6-G6</f>
        <v>1273889.7300000007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1273889.7300000007</v>
      </c>
      <c r="M6" s="7">
        <f t="shared" ref="M6" si="7">ROUND(L6*0.465,2)</f>
        <v>592358.72</v>
      </c>
      <c r="N6" s="7">
        <f>ROUND(L6*0.3,2)-0.01</f>
        <v>382166.91</v>
      </c>
      <c r="O6" s="7">
        <f t="shared" ref="O6" si="8">ROUND(L6*0.1285,2)</f>
        <v>163694.82999999999</v>
      </c>
      <c r="P6" s="7">
        <f t="shared" ref="P6" si="9">ROUND((L6*0.07)*0.9,2)</f>
        <v>80255.05</v>
      </c>
      <c r="Q6" s="7">
        <f t="shared" ref="Q6" si="10">ROUND(L6*0.01,2)</f>
        <v>12738.9</v>
      </c>
      <c r="R6" s="7">
        <f t="shared" ref="R6" si="11">ROUND((L6*0.0075)*0.9,2)</f>
        <v>8598.76</v>
      </c>
      <c r="S6" s="7">
        <f t="shared" ref="S6" si="12">ROUND((L6*0.0075)*0.9,2)</f>
        <v>8598.76</v>
      </c>
      <c r="T6" s="7">
        <f>ROUND(L6*0.01,2)</f>
        <v>12738.9</v>
      </c>
      <c r="U6" s="7">
        <f>ROUND(L6*0.01,2)</f>
        <v>12738.9</v>
      </c>
      <c r="V6" s="16">
        <f t="shared" ref="V6" si="13">E6/W6</f>
        <v>1321.6817430278891</v>
      </c>
      <c r="W6" s="8">
        <v>1004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v>45850</v>
      </c>
      <c r="B7" s="7">
        <v>16504354</v>
      </c>
      <c r="C7" s="7">
        <v>14613082.649999999</v>
      </c>
      <c r="D7" s="7">
        <v>337619</v>
      </c>
      <c r="E7" s="7">
        <f t="shared" ref="E7" si="14">B7-C7-D7</f>
        <v>1553652.3500000015</v>
      </c>
      <c r="F7" s="7">
        <f>ROUND(E7*0.04,2)</f>
        <v>62146.09</v>
      </c>
      <c r="G7" s="7">
        <f t="shared" ref="G7" si="15">ROUND(E7*0,2)</f>
        <v>0</v>
      </c>
      <c r="H7" s="7">
        <f t="shared" ref="H7" si="16">E7-F7-G7</f>
        <v>1491506.2600000014</v>
      </c>
      <c r="I7" s="7">
        <f t="shared" ref="I7" si="17">ROUND(H7*0,2)</f>
        <v>0</v>
      </c>
      <c r="J7" s="7">
        <f t="shared" ref="J7" si="18">ROUND((I7*0.58)+((I7*0.42)*0.1),2)</f>
        <v>0</v>
      </c>
      <c r="K7" s="7">
        <f t="shared" ref="K7" si="19">ROUND((I7*0.42)*0.9,2)</f>
        <v>0</v>
      </c>
      <c r="L7" s="18">
        <f t="shared" ref="L7" si="20">IF(J7+K7=I7,H7-I7,"ERROR")</f>
        <v>1491506.2600000014</v>
      </c>
      <c r="M7" s="7">
        <f t="shared" ref="M7" si="21">ROUND(L7*0.465,2)</f>
        <v>693550.41</v>
      </c>
      <c r="N7" s="7">
        <f>ROUND(L7*0.3,2)-0.01</f>
        <v>447451.87</v>
      </c>
      <c r="O7" s="7">
        <v>184916.62</v>
      </c>
      <c r="P7" s="7">
        <v>99517.07</v>
      </c>
      <c r="Q7" s="7">
        <v>14915.07</v>
      </c>
      <c r="R7" s="7">
        <v>10662.54</v>
      </c>
      <c r="S7" s="7">
        <v>10662.54</v>
      </c>
      <c r="T7" s="7">
        <f>ROUND(L7*0.01,2)+0.01</f>
        <v>14915.07</v>
      </c>
      <c r="U7" s="7">
        <f>ROUND(L7*0.01,2)+0.01</f>
        <v>14915.07</v>
      </c>
      <c r="V7" s="16">
        <f t="shared" ref="V7" si="22">E7/W7</f>
        <v>1552.1002497502514</v>
      </c>
      <c r="W7" s="8">
        <v>1001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 t="shared" ref="A8:A13" si="23">A7+7</f>
        <v>45857</v>
      </c>
      <c r="B8" s="7">
        <v>16478400.030000001</v>
      </c>
      <c r="C8" s="7">
        <v>14541171.43</v>
      </c>
      <c r="D8" s="7">
        <v>357146</v>
      </c>
      <c r="E8" s="7">
        <f t="shared" ref="E8" si="24">B8-C8-D8</f>
        <v>1580082.6000000015</v>
      </c>
      <c r="F8" s="7">
        <f>ROUND(E8*0.04,2)</f>
        <v>63203.3</v>
      </c>
      <c r="G8" s="7">
        <f t="shared" ref="G8" si="25">ROUND(E8*0,2)</f>
        <v>0</v>
      </c>
      <c r="H8" s="7">
        <f t="shared" ref="H8" si="26">E8-F8-G8</f>
        <v>1516879.3000000014</v>
      </c>
      <c r="I8" s="7">
        <f t="shared" ref="I8" si="27">ROUND(H8*0,2)</f>
        <v>0</v>
      </c>
      <c r="J8" s="7">
        <f t="shared" ref="J8" si="28">ROUND((I8*0.58)+((I8*0.42)*0.1),2)</f>
        <v>0</v>
      </c>
      <c r="K8" s="7">
        <f t="shared" ref="K8" si="29">ROUND((I8*0.42)*0.9,2)</f>
        <v>0</v>
      </c>
      <c r="L8" s="18">
        <f t="shared" ref="L8" si="30">IF(J8+K8=I8,H8-I8,"ERROR")</f>
        <v>1516879.3000000014</v>
      </c>
      <c r="M8" s="7">
        <f t="shared" ref="M8" si="31">ROUND(L8*0.465,2)</f>
        <v>705348.87</v>
      </c>
      <c r="N8" s="7">
        <f>ROUND(L8*0.3,2)+0.02</f>
        <v>455063.81</v>
      </c>
      <c r="O8" s="7">
        <f t="shared" ref="O8:O13" si="32">ROUND(L8*0.12,2)</f>
        <v>182025.52</v>
      </c>
      <c r="P8" s="7">
        <f t="shared" ref="P8:P13" si="33">ROUND(L8*0.07,2)</f>
        <v>106181.55</v>
      </c>
      <c r="Q8" s="7">
        <f t="shared" ref="Q8" si="34">ROUND(L8*0.01,2)</f>
        <v>15168.79</v>
      </c>
      <c r="R8" s="7">
        <f t="shared" ref="R8:R13" si="35">ROUND(L8*0.0075,2)</f>
        <v>11376.59</v>
      </c>
      <c r="S8" s="7">
        <f t="shared" ref="S8:S13" si="36">ROUND(L8*0.0075,2)</f>
        <v>11376.59</v>
      </c>
      <c r="T8" s="7">
        <f t="shared" ref="T8:T13" si="37">ROUND(L8*0.01,2)</f>
        <v>15168.79</v>
      </c>
      <c r="U8" s="7">
        <f t="shared" ref="U8:U13" si="38">ROUND(L8*0.01,2)</f>
        <v>15168.79</v>
      </c>
      <c r="V8" s="16">
        <f t="shared" ref="V8" si="39">E8/W8</f>
        <v>1591.2211480362553</v>
      </c>
      <c r="W8" s="8">
        <v>993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 t="shared" si="23"/>
        <v>45864</v>
      </c>
      <c r="B9" s="7">
        <v>16092197.9</v>
      </c>
      <c r="C9" s="7">
        <v>14328659.65</v>
      </c>
      <c r="D9" s="7">
        <v>331641</v>
      </c>
      <c r="E9" s="7">
        <f t="shared" ref="E9" si="40">B9-C9-D9</f>
        <v>1431897.25</v>
      </c>
      <c r="F9" s="7">
        <f>ROUND(E9*0.04,2)</f>
        <v>57275.89</v>
      </c>
      <c r="G9" s="7">
        <f t="shared" ref="G9" si="41">ROUND(E9*0,2)</f>
        <v>0</v>
      </c>
      <c r="H9" s="7">
        <f t="shared" ref="H9" si="42">E9-F9-G9</f>
        <v>1374621.36</v>
      </c>
      <c r="I9" s="7">
        <f t="shared" ref="I9" si="43">ROUND(H9*0,2)</f>
        <v>0</v>
      </c>
      <c r="J9" s="7">
        <f t="shared" ref="J9" si="44">ROUND((I9*0.58)+((I9*0.42)*0.1),2)</f>
        <v>0</v>
      </c>
      <c r="K9" s="7">
        <f t="shared" ref="K9" si="45">ROUND((I9*0.42)*0.9,2)</f>
        <v>0</v>
      </c>
      <c r="L9" s="18">
        <f t="shared" ref="L9" si="46">IF(J9+K9=I9,H9-I9,"ERROR")</f>
        <v>1374621.36</v>
      </c>
      <c r="M9" s="7">
        <f t="shared" ref="M9" si="47">ROUND(L9*0.465,2)</f>
        <v>639198.93000000005</v>
      </c>
      <c r="N9" s="7">
        <f>ROUND(L9*0.3,2)+0.01</f>
        <v>412386.42</v>
      </c>
      <c r="O9" s="7">
        <f t="shared" si="32"/>
        <v>164954.56</v>
      </c>
      <c r="P9" s="7">
        <f t="shared" si="33"/>
        <v>96223.5</v>
      </c>
      <c r="Q9" s="7">
        <f t="shared" ref="Q9" si="48">ROUND(L9*0.01,2)</f>
        <v>13746.21</v>
      </c>
      <c r="R9" s="7">
        <f t="shared" si="35"/>
        <v>10309.66</v>
      </c>
      <c r="S9" s="7">
        <f t="shared" si="36"/>
        <v>10309.66</v>
      </c>
      <c r="T9" s="7">
        <f t="shared" si="37"/>
        <v>13746.21</v>
      </c>
      <c r="U9" s="7">
        <f t="shared" si="38"/>
        <v>13746.21</v>
      </c>
      <c r="V9" s="16">
        <f t="shared" ref="V9" si="49">E9/W9</f>
        <v>1440.5404929577464</v>
      </c>
      <c r="W9" s="8">
        <v>994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 t="shared" si="23"/>
        <v>45871</v>
      </c>
      <c r="B10" s="7">
        <v>16482660.189999999</v>
      </c>
      <c r="C10" s="7">
        <v>14730034.83</v>
      </c>
      <c r="D10" s="7">
        <v>338777</v>
      </c>
      <c r="E10" s="7">
        <f t="shared" ref="E10" si="50">B10-C10-D10</f>
        <v>1413848.3599999994</v>
      </c>
      <c r="F10" s="7">
        <f>ROUND(E10*0.04,2)-0.01</f>
        <v>56553.919999999998</v>
      </c>
      <c r="G10" s="7">
        <f t="shared" ref="G10" si="51">ROUND(E10*0,2)</f>
        <v>0</v>
      </c>
      <c r="H10" s="7">
        <f t="shared" ref="H10" si="52">E10-F10-G10</f>
        <v>1357294.4399999995</v>
      </c>
      <c r="I10" s="7">
        <f t="shared" ref="I10" si="53">ROUND(H10*0,2)</f>
        <v>0</v>
      </c>
      <c r="J10" s="7">
        <f t="shared" ref="J10" si="54">ROUND((I10*0.58)+((I10*0.42)*0.1),2)</f>
        <v>0</v>
      </c>
      <c r="K10" s="7">
        <f t="shared" ref="K10" si="55">ROUND((I10*0.42)*0.9,2)</f>
        <v>0</v>
      </c>
      <c r="L10" s="18">
        <f t="shared" ref="L10" si="56">IF(J10+K10=I10,H10-I10,"ERROR")</f>
        <v>1357294.4399999995</v>
      </c>
      <c r="M10" s="7">
        <f t="shared" ref="M10" si="57">ROUND(L10*0.465,2)</f>
        <v>631141.91</v>
      </c>
      <c r="N10" s="7">
        <f>ROUND(L10*0.3,2)+0.02</f>
        <v>407188.35000000003</v>
      </c>
      <c r="O10" s="7">
        <f t="shared" si="32"/>
        <v>162875.32999999999</v>
      </c>
      <c r="P10" s="7">
        <f t="shared" si="33"/>
        <v>95010.61</v>
      </c>
      <c r="Q10" s="7">
        <f t="shared" ref="Q10" si="58">ROUND(L10*0.01,2)</f>
        <v>13572.94</v>
      </c>
      <c r="R10" s="7">
        <f t="shared" si="35"/>
        <v>10179.709999999999</v>
      </c>
      <c r="S10" s="7">
        <f t="shared" si="36"/>
        <v>10179.709999999999</v>
      </c>
      <c r="T10" s="7">
        <f t="shared" si="37"/>
        <v>13572.94</v>
      </c>
      <c r="U10" s="7">
        <f t="shared" si="38"/>
        <v>13572.94</v>
      </c>
      <c r="V10" s="16">
        <f t="shared" ref="V10" si="59">E10/W10</f>
        <v>1413.8483599999995</v>
      </c>
      <c r="W10" s="8">
        <v>1000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 t="shared" si="23"/>
        <v>45878</v>
      </c>
      <c r="B11" s="7">
        <v>16105109.310000001</v>
      </c>
      <c r="C11" s="7">
        <v>14300517.649999999</v>
      </c>
      <c r="D11" s="7">
        <v>341132</v>
      </c>
      <c r="E11" s="7">
        <f t="shared" ref="E11" si="60">B11-C11-D11</f>
        <v>1463459.660000002</v>
      </c>
      <c r="F11" s="7">
        <f>ROUND(E11*0.04,2)</f>
        <v>58538.39</v>
      </c>
      <c r="G11" s="7">
        <f t="shared" ref="G11" si="61">ROUND(E11*0,2)</f>
        <v>0</v>
      </c>
      <c r="H11" s="7">
        <f t="shared" ref="H11" si="62">E11-F11-G11</f>
        <v>1404921.2700000021</v>
      </c>
      <c r="I11" s="7">
        <f t="shared" ref="I11" si="63">ROUND(H11*0,2)</f>
        <v>0</v>
      </c>
      <c r="J11" s="7">
        <f t="shared" ref="J11" si="64">ROUND((I11*0.58)+((I11*0.42)*0.1),2)</f>
        <v>0</v>
      </c>
      <c r="K11" s="7">
        <f t="shared" ref="K11" si="65">ROUND((I11*0.42)*0.9,2)</f>
        <v>0</v>
      </c>
      <c r="L11" s="18">
        <f t="shared" ref="L11" si="66">IF(J11+K11=I11,H11-I11,"ERROR")</f>
        <v>1404921.2700000021</v>
      </c>
      <c r="M11" s="7">
        <f t="shared" ref="M11" si="67">ROUND(L11*0.465,2)</f>
        <v>653288.39</v>
      </c>
      <c r="N11" s="7">
        <f>ROUND(L11*0.3,2)+0.01</f>
        <v>421476.39</v>
      </c>
      <c r="O11" s="7">
        <f t="shared" si="32"/>
        <v>168590.55</v>
      </c>
      <c r="P11" s="7">
        <f t="shared" si="33"/>
        <v>98344.49</v>
      </c>
      <c r="Q11" s="7">
        <f t="shared" ref="Q11" si="68">ROUND(L11*0.01,2)</f>
        <v>14049.21</v>
      </c>
      <c r="R11" s="7">
        <f t="shared" si="35"/>
        <v>10536.91</v>
      </c>
      <c r="S11" s="7">
        <f t="shared" si="36"/>
        <v>10536.91</v>
      </c>
      <c r="T11" s="7">
        <f t="shared" si="37"/>
        <v>14049.21</v>
      </c>
      <c r="U11" s="7">
        <f t="shared" si="38"/>
        <v>14049.21</v>
      </c>
      <c r="V11" s="16">
        <f t="shared" ref="V11" si="69">E11/W11</f>
        <v>1466.3924448897815</v>
      </c>
      <c r="W11" s="8">
        <v>998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 t="shared" si="23"/>
        <v>45885</v>
      </c>
      <c r="B12" s="7">
        <v>16132967.800000001</v>
      </c>
      <c r="C12" s="7">
        <v>14338936.68</v>
      </c>
      <c r="D12" s="7">
        <v>344484</v>
      </c>
      <c r="E12" s="7">
        <f t="shared" ref="E12" si="70">B12-C12-D12</f>
        <v>1449547.120000001</v>
      </c>
      <c r="F12" s="7">
        <f>ROUND(E12*0.04,2)+0.01</f>
        <v>57981.89</v>
      </c>
      <c r="G12" s="7">
        <f t="shared" ref="G12" si="71">ROUND(E12*0,2)</f>
        <v>0</v>
      </c>
      <c r="H12" s="7">
        <f t="shared" ref="H12" si="72">E12-F12-G12</f>
        <v>1391565.2300000011</v>
      </c>
      <c r="I12" s="7">
        <f t="shared" ref="I12" si="73">ROUND(H12*0,2)</f>
        <v>0</v>
      </c>
      <c r="J12" s="7">
        <f t="shared" ref="J12" si="74">ROUND((I12*0.58)+((I12*0.42)*0.1),2)</f>
        <v>0</v>
      </c>
      <c r="K12" s="7">
        <f t="shared" ref="K12" si="75">ROUND((I12*0.42)*0.9,2)</f>
        <v>0</v>
      </c>
      <c r="L12" s="18">
        <f t="shared" ref="L12" si="76">IF(J12+K12=I12,H12-I12,"ERROR")</f>
        <v>1391565.2300000011</v>
      </c>
      <c r="M12" s="7">
        <f t="shared" ref="M12" si="77">ROUND(L12*0.465,2)</f>
        <v>647077.82999999996</v>
      </c>
      <c r="N12" s="7">
        <f>ROUND(L12*0.3,2)</f>
        <v>417469.57</v>
      </c>
      <c r="O12" s="7">
        <f t="shared" si="32"/>
        <v>166987.82999999999</v>
      </c>
      <c r="P12" s="7">
        <f t="shared" si="33"/>
        <v>97409.57</v>
      </c>
      <c r="Q12" s="7">
        <f t="shared" ref="Q12" si="78">ROUND(L12*0.01,2)</f>
        <v>13915.65</v>
      </c>
      <c r="R12" s="7">
        <f t="shared" si="35"/>
        <v>10436.74</v>
      </c>
      <c r="S12" s="7">
        <f t="shared" si="36"/>
        <v>10436.74</v>
      </c>
      <c r="T12" s="7">
        <f t="shared" si="37"/>
        <v>13915.65</v>
      </c>
      <c r="U12" s="7">
        <f t="shared" si="38"/>
        <v>13915.65</v>
      </c>
      <c r="V12" s="16">
        <f t="shared" ref="V12" si="79">E12/W12</f>
        <v>1450.9981181181192</v>
      </c>
      <c r="W12" s="8">
        <v>999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 t="shared" si="23"/>
        <v>45892</v>
      </c>
      <c r="B13" s="7">
        <v>16760764.029999997</v>
      </c>
      <c r="C13" s="7">
        <v>14923530.33</v>
      </c>
      <c r="D13" s="7">
        <v>339346</v>
      </c>
      <c r="E13" s="7">
        <f t="shared" ref="E13" si="80">B13-C13-D13</f>
        <v>1497887.6999999974</v>
      </c>
      <c r="F13" s="7">
        <f>ROUND(E13*0.04,2)</f>
        <v>59915.51</v>
      </c>
      <c r="G13" s="7">
        <f t="shared" ref="G13" si="81">ROUND(E13*0,2)</f>
        <v>0</v>
      </c>
      <c r="H13" s="7">
        <f t="shared" ref="H13" si="82">E13-F13-G13</f>
        <v>1437972.1899999974</v>
      </c>
      <c r="I13" s="7">
        <f t="shared" ref="I13" si="83">ROUND(H13*0,2)</f>
        <v>0</v>
      </c>
      <c r="J13" s="7">
        <f t="shared" ref="J13" si="84">ROUND((I13*0.58)+((I13*0.42)*0.1),2)</f>
        <v>0</v>
      </c>
      <c r="K13" s="7">
        <f t="shared" ref="K13" si="85">ROUND((I13*0.42)*0.9,2)</f>
        <v>0</v>
      </c>
      <c r="L13" s="18">
        <f t="shared" ref="L13" si="86">IF(J13+K13=I13,H13-I13,"ERROR")</f>
        <v>1437972.1899999974</v>
      </c>
      <c r="M13" s="7">
        <f t="shared" ref="M13" si="87">ROUND(L13*0.465,2)</f>
        <v>668657.06999999995</v>
      </c>
      <c r="N13" s="7">
        <f>ROUND(L13*0.3,2)+0.01</f>
        <v>431391.67</v>
      </c>
      <c r="O13" s="7">
        <f t="shared" si="32"/>
        <v>172556.66</v>
      </c>
      <c r="P13" s="7">
        <f t="shared" si="33"/>
        <v>100658.05</v>
      </c>
      <c r="Q13" s="7">
        <f t="shared" ref="Q13" si="88">ROUND(L13*0.01,2)</f>
        <v>14379.72</v>
      </c>
      <c r="R13" s="7">
        <f t="shared" si="35"/>
        <v>10784.79</v>
      </c>
      <c r="S13" s="7">
        <f t="shared" si="36"/>
        <v>10784.79</v>
      </c>
      <c r="T13" s="7">
        <f t="shared" si="37"/>
        <v>14379.72</v>
      </c>
      <c r="U13" s="7">
        <f t="shared" si="38"/>
        <v>14379.72</v>
      </c>
      <c r="V13" s="16">
        <f t="shared" ref="V13" si="89">E13/W13</f>
        <v>1496.391308691306</v>
      </c>
      <c r="W13" s="8">
        <v>1001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 t="shared" ref="A14:A21" si="90">A13+7</f>
        <v>45899</v>
      </c>
      <c r="B14" s="7">
        <v>16464004.02</v>
      </c>
      <c r="C14" s="7">
        <v>14580122.749999998</v>
      </c>
      <c r="D14" s="7">
        <v>353357</v>
      </c>
      <c r="E14" s="7">
        <f t="shared" ref="E14" si="91">B14-C14-D14</f>
        <v>1530524.2700000014</v>
      </c>
      <c r="F14" s="7">
        <f>ROUND(E14*0.04,2)-0.01</f>
        <v>61220.959999999999</v>
      </c>
      <c r="G14" s="7">
        <f t="shared" ref="G14" si="92">ROUND(E14*0,2)</f>
        <v>0</v>
      </c>
      <c r="H14" s="7">
        <f t="shared" ref="H14" si="93">E14-F14-G14</f>
        <v>1469303.3100000015</v>
      </c>
      <c r="I14" s="7">
        <f t="shared" ref="I14" si="94">ROUND(H14*0,2)</f>
        <v>0</v>
      </c>
      <c r="J14" s="7">
        <f t="shared" ref="J14" si="95">ROUND((I14*0.58)+((I14*0.42)*0.1),2)</f>
        <v>0</v>
      </c>
      <c r="K14" s="7">
        <f t="shared" ref="K14" si="96">ROUND((I14*0.42)*0.9,2)</f>
        <v>0</v>
      </c>
      <c r="L14" s="18">
        <f t="shared" ref="L14" si="97">IF(J14+K14=I14,H14-I14,"ERROR")</f>
        <v>1469303.3100000015</v>
      </c>
      <c r="M14" s="7">
        <f t="shared" ref="M14" si="98">ROUND(L14*0.465,2)</f>
        <v>683226.04</v>
      </c>
      <c r="N14" s="7">
        <f>ROUND(L14*0.3,2)+0.02</f>
        <v>440791.01</v>
      </c>
      <c r="O14" s="7">
        <f t="shared" ref="O14" si="99">ROUND(L14*0.12,2)</f>
        <v>176316.4</v>
      </c>
      <c r="P14" s="7">
        <f t="shared" ref="P14" si="100">ROUND(L14*0.07,2)</f>
        <v>102851.23</v>
      </c>
      <c r="Q14" s="7">
        <f t="shared" ref="Q14" si="101">ROUND(L14*0.01,2)</f>
        <v>14693.03</v>
      </c>
      <c r="R14" s="7">
        <f t="shared" ref="R14" si="102">ROUND(L14*0.0075,2)</f>
        <v>11019.77</v>
      </c>
      <c r="S14" s="7">
        <f t="shared" ref="S14" si="103">ROUND(L14*0.0075,2)</f>
        <v>11019.77</v>
      </c>
      <c r="T14" s="7">
        <f t="shared" ref="T14" si="104">ROUND(L14*0.01,2)</f>
        <v>14693.03</v>
      </c>
      <c r="U14" s="7">
        <f t="shared" ref="U14" si="105">ROUND(L14*0.01,2)</f>
        <v>14693.03</v>
      </c>
      <c r="V14" s="16">
        <f t="shared" ref="V14" si="106">E14/W14</f>
        <v>1533.591452905813</v>
      </c>
      <c r="W14" s="8">
        <v>998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 t="shared" si="90"/>
        <v>45906</v>
      </c>
      <c r="B15" s="7">
        <v>18370111.219999999</v>
      </c>
      <c r="C15" s="7">
        <v>16283467.27</v>
      </c>
      <c r="D15" s="7">
        <v>379637</v>
      </c>
      <c r="E15" s="7">
        <f t="shared" ref="E15" si="107">B15-C15-D15</f>
        <v>1707006.9499999993</v>
      </c>
      <c r="F15" s="7">
        <f>ROUND(E15*0.04,2)</f>
        <v>68280.28</v>
      </c>
      <c r="G15" s="7">
        <f t="shared" ref="G15" si="108">ROUND(E15*0,2)</f>
        <v>0</v>
      </c>
      <c r="H15" s="7">
        <f t="shared" ref="H15" si="109">E15-F15-G15</f>
        <v>1638726.6699999992</v>
      </c>
      <c r="I15" s="7">
        <f t="shared" ref="I15" si="110">ROUND(H15*0,2)</f>
        <v>0</v>
      </c>
      <c r="J15" s="7">
        <f t="shared" ref="J15" si="111">ROUND((I15*0.58)+((I15*0.42)*0.1),2)</f>
        <v>0</v>
      </c>
      <c r="K15" s="7">
        <f t="shared" ref="K15" si="112">ROUND((I15*0.42)*0.9,2)</f>
        <v>0</v>
      </c>
      <c r="L15" s="18">
        <f t="shared" ref="L15" si="113">IF(J15+K15=I15,H15-I15,"ERROR")</f>
        <v>1638726.6699999992</v>
      </c>
      <c r="M15" s="7">
        <f t="shared" ref="M15" si="114">ROUND(L15*0.465,2)</f>
        <v>762007.9</v>
      </c>
      <c r="N15" s="7">
        <f>ROUND(L15*0.3,2)-0.01</f>
        <v>491617.99</v>
      </c>
      <c r="O15" s="7">
        <f t="shared" ref="O15" si="115">ROUND(L15*0.12,2)</f>
        <v>196647.2</v>
      </c>
      <c r="P15" s="7">
        <f t="shared" ref="P15" si="116">ROUND(L15*0.07,2)</f>
        <v>114710.87</v>
      </c>
      <c r="Q15" s="7">
        <f t="shared" ref="Q15" si="117">ROUND(L15*0.01,2)</f>
        <v>16387.27</v>
      </c>
      <c r="R15" s="7">
        <f t="shared" ref="R15" si="118">ROUND(L15*0.0075,2)</f>
        <v>12290.45</v>
      </c>
      <c r="S15" s="7">
        <f t="shared" ref="S15" si="119">ROUND(L15*0.0075,2)</f>
        <v>12290.45</v>
      </c>
      <c r="T15" s="7">
        <f t="shared" ref="T15" si="120">ROUND(L15*0.01,2)</f>
        <v>16387.27</v>
      </c>
      <c r="U15" s="7">
        <f t="shared" ref="U15" si="121">ROUND(L15*0.01,2)</f>
        <v>16387.27</v>
      </c>
      <c r="V15" s="16">
        <f t="shared" ref="V15" si="122">E15/W15</f>
        <v>1703.5997504990012</v>
      </c>
      <c r="W15" s="8">
        <v>1002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 t="shared" si="90"/>
        <v>45913</v>
      </c>
      <c r="B16" s="7">
        <v>13698591.370000001</v>
      </c>
      <c r="C16" s="7">
        <v>12158524.309999999</v>
      </c>
      <c r="D16" s="7">
        <v>297111</v>
      </c>
      <c r="E16" s="7">
        <f t="shared" ref="E16" si="123">B16-C16-D16</f>
        <v>1242956.0600000024</v>
      </c>
      <c r="F16" s="7">
        <f>ROUND(E16*0.04,2)</f>
        <v>49718.239999999998</v>
      </c>
      <c r="G16" s="7">
        <f t="shared" ref="G16" si="124">ROUND(E16*0,2)</f>
        <v>0</v>
      </c>
      <c r="H16" s="7">
        <f t="shared" ref="H16" si="125">E16-F16-G16</f>
        <v>1193237.8200000024</v>
      </c>
      <c r="I16" s="7">
        <f t="shared" ref="I16" si="126">ROUND(H16*0,2)</f>
        <v>0</v>
      </c>
      <c r="J16" s="7">
        <f t="shared" ref="J16" si="127">ROUND((I16*0.58)+((I16*0.42)*0.1),2)</f>
        <v>0</v>
      </c>
      <c r="K16" s="7">
        <f t="shared" ref="K16" si="128">ROUND((I16*0.42)*0.9,2)</f>
        <v>0</v>
      </c>
      <c r="L16" s="18">
        <f t="shared" ref="L16" si="129">IF(J16+K16=I16,H16-I16,"ERROR")</f>
        <v>1193237.8200000024</v>
      </c>
      <c r="M16" s="7">
        <f t="shared" ref="M16" si="130">ROUND(L16*0.465,2)</f>
        <v>554855.59</v>
      </c>
      <c r="N16" s="7">
        <f>ROUND(L16*0.3,2)-0.01</f>
        <v>357971.33999999997</v>
      </c>
      <c r="O16" s="7">
        <f t="shared" ref="O16" si="131">ROUND(L16*0.12,2)</f>
        <v>143188.54</v>
      </c>
      <c r="P16" s="7">
        <f t="shared" ref="P16" si="132">ROUND(L16*0.07,2)</f>
        <v>83526.649999999994</v>
      </c>
      <c r="Q16" s="7">
        <f t="shared" ref="Q16" si="133">ROUND(L16*0.01,2)</f>
        <v>11932.38</v>
      </c>
      <c r="R16" s="7">
        <f t="shared" ref="R16" si="134">ROUND(L16*0.0075,2)</f>
        <v>8949.2800000000007</v>
      </c>
      <c r="S16" s="7">
        <f t="shared" ref="S16" si="135">ROUND(L16*0.0075,2)</f>
        <v>8949.2800000000007</v>
      </c>
      <c r="T16" s="7">
        <f t="shared" ref="T16" si="136">ROUND(L16*0.01,2)</f>
        <v>11932.38</v>
      </c>
      <c r="U16" s="7">
        <f t="shared" ref="U16" si="137">ROUND(L16*0.01,2)</f>
        <v>11932.38</v>
      </c>
      <c r="V16" s="16">
        <f t="shared" ref="V16" si="138">E16/W16</f>
        <v>1246.6961484453384</v>
      </c>
      <c r="W16" s="8">
        <v>997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 t="shared" si="90"/>
        <v>45920</v>
      </c>
      <c r="B17" s="7">
        <v>17003174.169999998</v>
      </c>
      <c r="C17" s="7">
        <v>15101436.459999999</v>
      </c>
      <c r="D17" s="7">
        <v>314019</v>
      </c>
      <c r="E17" s="7">
        <f t="shared" ref="E17" si="139">B17-C17-D17</f>
        <v>1587718.709999999</v>
      </c>
      <c r="F17" s="7">
        <f>ROUND(E17*0.04,2)-0.01</f>
        <v>63508.74</v>
      </c>
      <c r="G17" s="7">
        <f t="shared" ref="G17" si="140">ROUND(E17*0,2)</f>
        <v>0</v>
      </c>
      <c r="H17" s="7">
        <f t="shared" ref="H17" si="141">E17-F17-G17</f>
        <v>1524209.969999999</v>
      </c>
      <c r="I17" s="7">
        <f t="shared" ref="I17" si="142">ROUND(H17*0,2)</f>
        <v>0</v>
      </c>
      <c r="J17" s="7">
        <f t="shared" ref="J17" si="143">ROUND((I17*0.58)+((I17*0.42)*0.1),2)</f>
        <v>0</v>
      </c>
      <c r="K17" s="7">
        <f t="shared" ref="K17" si="144">ROUND((I17*0.42)*0.9,2)</f>
        <v>0</v>
      </c>
      <c r="L17" s="18">
        <f t="shared" ref="L17" si="145">IF(J17+K17=I17,H17-I17,"ERROR")</f>
        <v>1524209.969999999</v>
      </c>
      <c r="M17" s="7">
        <f t="shared" ref="M17" si="146">ROUND(L17*0.465,2)</f>
        <v>708757.64</v>
      </c>
      <c r="N17" s="7">
        <f>ROUND(L17*0.3,2)</f>
        <v>457262.99</v>
      </c>
      <c r="O17" s="7">
        <f t="shared" ref="O17" si="147">ROUND(L17*0.12,2)</f>
        <v>182905.2</v>
      </c>
      <c r="P17" s="7">
        <f t="shared" ref="P17" si="148">ROUND(L17*0.07,2)</f>
        <v>106694.7</v>
      </c>
      <c r="Q17" s="7">
        <f t="shared" ref="Q17" si="149">ROUND(L17*0.01,2)</f>
        <v>15242.1</v>
      </c>
      <c r="R17" s="7">
        <f t="shared" ref="R17" si="150">ROUND(L17*0.0075,2)</f>
        <v>11431.57</v>
      </c>
      <c r="S17" s="7">
        <f t="shared" ref="S17" si="151">ROUND(L17*0.0075,2)</f>
        <v>11431.57</v>
      </c>
      <c r="T17" s="7">
        <f t="shared" ref="T17" si="152">ROUND(L17*0.01,2)</f>
        <v>15242.1</v>
      </c>
      <c r="U17" s="7">
        <f t="shared" ref="U17" si="153">ROUND(L17*0.01,2)</f>
        <v>15242.1</v>
      </c>
      <c r="V17" s="16">
        <f t="shared" ref="V17" si="154">E17/W17</f>
        <v>1595.6971959798984</v>
      </c>
      <c r="W17" s="8">
        <v>995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 t="shared" si="90"/>
        <v>45927</v>
      </c>
      <c r="B18" s="7">
        <v>15339383.970000001</v>
      </c>
      <c r="C18" s="7">
        <v>13631555.290000001</v>
      </c>
      <c r="D18" s="7">
        <v>308993</v>
      </c>
      <c r="E18" s="7">
        <f t="shared" ref="E18" si="155">B18-C18-D18</f>
        <v>1398835.6799999997</v>
      </c>
      <c r="F18" s="7">
        <f>ROUND(E18*0.04,2)+0.01</f>
        <v>55953.440000000002</v>
      </c>
      <c r="G18" s="7">
        <f t="shared" ref="G18" si="156">ROUND(E18*0,2)</f>
        <v>0</v>
      </c>
      <c r="H18" s="7">
        <f t="shared" ref="H18" si="157">E18-F18-G18</f>
        <v>1342882.2399999998</v>
      </c>
      <c r="I18" s="7">
        <f t="shared" ref="I18" si="158">ROUND(H18*0,2)</f>
        <v>0</v>
      </c>
      <c r="J18" s="7">
        <f t="shared" ref="J18" si="159">ROUND((I18*0.58)+((I18*0.42)*0.1),2)</f>
        <v>0</v>
      </c>
      <c r="K18" s="7">
        <f t="shared" ref="K18" si="160">ROUND((I18*0.42)*0.9,2)</f>
        <v>0</v>
      </c>
      <c r="L18" s="18">
        <f t="shared" ref="L18" si="161">IF(J18+K18=I18,H18-I18,"ERROR")</f>
        <v>1342882.2399999998</v>
      </c>
      <c r="M18" s="7">
        <f t="shared" ref="M18" si="162">ROUND(L18*0.465,2)</f>
        <v>624440.24</v>
      </c>
      <c r="N18" s="7">
        <f>ROUND(L18*0.3,2)</f>
        <v>402864.67</v>
      </c>
      <c r="O18" s="7">
        <f t="shared" ref="O18" si="163">ROUND(L18*0.12,2)</f>
        <v>161145.87</v>
      </c>
      <c r="P18" s="7">
        <f t="shared" ref="P18" si="164">ROUND(L18*0.07,2)</f>
        <v>94001.76</v>
      </c>
      <c r="Q18" s="7">
        <f t="shared" ref="Q18" si="165">ROUND(L18*0.01,2)</f>
        <v>13428.82</v>
      </c>
      <c r="R18" s="7">
        <f t="shared" ref="R18" si="166">ROUND(L18*0.0075,2)</f>
        <v>10071.620000000001</v>
      </c>
      <c r="S18" s="7">
        <f t="shared" ref="S18" si="167">ROUND(L18*0.0075,2)</f>
        <v>10071.620000000001</v>
      </c>
      <c r="T18" s="7">
        <f t="shared" ref="T18" si="168">ROUND(L18*0.01,2)</f>
        <v>13428.82</v>
      </c>
      <c r="U18" s="7">
        <f t="shared" ref="U18" si="169">ROUND(L18*0.01,2)</f>
        <v>13428.82</v>
      </c>
      <c r="V18" s="16">
        <f t="shared" ref="V18" si="170">E18/W18</f>
        <v>1403.0448144433296</v>
      </c>
      <c r="W18" s="8">
        <v>997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 t="shared" si="90"/>
        <v>45934</v>
      </c>
      <c r="B19" s="7">
        <v>14884867.32</v>
      </c>
      <c r="C19" s="7">
        <v>13208330.439999999</v>
      </c>
      <c r="D19" s="7">
        <v>297125</v>
      </c>
      <c r="E19" s="7">
        <f t="shared" ref="E19" si="171">B19-C19-D19</f>
        <v>1379411.8800000008</v>
      </c>
      <c r="F19" s="7">
        <f>ROUND(E19*0.04,2)-0.01</f>
        <v>55176.47</v>
      </c>
      <c r="G19" s="7">
        <f t="shared" ref="G19" si="172">ROUND(E19*0,2)</f>
        <v>0</v>
      </c>
      <c r="H19" s="7">
        <f t="shared" ref="H19" si="173">E19-F19-G19</f>
        <v>1324235.4100000008</v>
      </c>
      <c r="I19" s="7">
        <f t="shared" ref="I19" si="174">ROUND(H19*0,2)</f>
        <v>0</v>
      </c>
      <c r="J19" s="7">
        <f t="shared" ref="J19" si="175">ROUND((I19*0.58)+((I19*0.42)*0.1),2)</f>
        <v>0</v>
      </c>
      <c r="K19" s="7">
        <f t="shared" ref="K19" si="176">ROUND((I19*0.42)*0.9,2)</f>
        <v>0</v>
      </c>
      <c r="L19" s="18">
        <f t="shared" ref="L19" si="177">IF(J19+K19=I19,H19-I19,"ERROR")</f>
        <v>1324235.4100000008</v>
      </c>
      <c r="M19" s="7">
        <f t="shared" ref="M19" si="178">ROUND(L19*0.465,2)</f>
        <v>615769.47</v>
      </c>
      <c r="N19" s="7">
        <f>ROUND(L19*0.3,2)</f>
        <v>397270.62</v>
      </c>
      <c r="O19" s="7">
        <f t="shared" ref="O19" si="179">ROUND(L19*0.12,2)</f>
        <v>158908.25</v>
      </c>
      <c r="P19" s="7">
        <f t="shared" ref="P19" si="180">ROUND(L19*0.07,2)</f>
        <v>92696.48</v>
      </c>
      <c r="Q19" s="7">
        <f t="shared" ref="Q19" si="181">ROUND(L19*0.01,2)</f>
        <v>13242.35</v>
      </c>
      <c r="R19" s="7">
        <f t="shared" ref="R19" si="182">ROUND(L19*0.0075,2)</f>
        <v>9931.77</v>
      </c>
      <c r="S19" s="7">
        <f t="shared" ref="S19" si="183">ROUND(L19*0.0075,2)</f>
        <v>9931.77</v>
      </c>
      <c r="T19" s="7">
        <f t="shared" ref="T19" si="184">ROUND(L19*0.01,2)</f>
        <v>13242.35</v>
      </c>
      <c r="U19" s="7">
        <f t="shared" ref="U19" si="185">ROUND(L19*0.01,2)</f>
        <v>13242.35</v>
      </c>
      <c r="V19" s="16">
        <f t="shared" ref="V19" si="186">E19/W19</f>
        <v>1378.033846153847</v>
      </c>
      <c r="W19" s="8">
        <v>1001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 t="shared" si="90"/>
        <v>45941</v>
      </c>
      <c r="B20" s="7">
        <v>15125998.950000001</v>
      </c>
      <c r="C20" s="7">
        <v>13610548.83</v>
      </c>
      <c r="D20" s="7">
        <v>298505</v>
      </c>
      <c r="E20" s="7">
        <f t="shared" ref="E20" si="187">B20-C20-D20</f>
        <v>1216945.120000001</v>
      </c>
      <c r="F20" s="7">
        <f>ROUND(E20*0.04,2)+0.01</f>
        <v>48677.810000000005</v>
      </c>
      <c r="G20" s="7">
        <f t="shared" ref="G20" si="188">ROUND(E20*0,2)</f>
        <v>0</v>
      </c>
      <c r="H20" s="7">
        <f t="shared" ref="H20" si="189">E20-F20-G20</f>
        <v>1168267.310000001</v>
      </c>
      <c r="I20" s="7">
        <f t="shared" ref="I20" si="190">ROUND(H20*0,2)</f>
        <v>0</v>
      </c>
      <c r="J20" s="7">
        <f t="shared" ref="J20" si="191">ROUND((I20*0.58)+((I20*0.42)*0.1),2)</f>
        <v>0</v>
      </c>
      <c r="K20" s="7">
        <f t="shared" ref="K20" si="192">ROUND((I20*0.42)*0.9,2)</f>
        <v>0</v>
      </c>
      <c r="L20" s="18">
        <f t="shared" ref="L20" si="193">IF(J20+K20=I20,H20-I20,"ERROR")</f>
        <v>1168267.310000001</v>
      </c>
      <c r="M20" s="7">
        <f t="shared" ref="M20" si="194">ROUND(L20*0.465,2)</f>
        <v>543244.30000000005</v>
      </c>
      <c r="N20" s="7">
        <f>ROUND(L20*0.3,2)+0.02</f>
        <v>350480.21</v>
      </c>
      <c r="O20" s="7">
        <f t="shared" ref="O20" si="195">ROUND(L20*0.12,2)</f>
        <v>140192.07999999999</v>
      </c>
      <c r="P20" s="7">
        <f t="shared" ref="P20" si="196">ROUND(L20*0.07,2)</f>
        <v>81778.710000000006</v>
      </c>
      <c r="Q20" s="7">
        <f t="shared" ref="Q20" si="197">ROUND(L20*0.01,2)</f>
        <v>11682.67</v>
      </c>
      <c r="R20" s="7">
        <f t="shared" ref="R20" si="198">ROUND(L20*0.0075,2)</f>
        <v>8762</v>
      </c>
      <c r="S20" s="7">
        <f t="shared" ref="S20" si="199">ROUND(L20*0.0075,2)</f>
        <v>8762</v>
      </c>
      <c r="T20" s="7">
        <f t="shared" ref="T20" si="200">ROUND(L20*0.01,2)</f>
        <v>11682.67</v>
      </c>
      <c r="U20" s="7">
        <f t="shared" ref="U20" si="201">ROUND(L20*0.01,2)</f>
        <v>11682.67</v>
      </c>
      <c r="V20" s="16">
        <f t="shared" ref="V20" si="202">E20/W20</f>
        <v>1224.290865191148</v>
      </c>
      <c r="W20" s="8">
        <v>994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 t="shared" si="90"/>
        <v>45948</v>
      </c>
      <c r="B21" s="7">
        <v>14869326.490000002</v>
      </c>
      <c r="C21" s="7">
        <v>13165517.23</v>
      </c>
      <c r="D21" s="7">
        <v>317858</v>
      </c>
      <c r="E21" s="7">
        <f t="shared" ref="E21" si="203">B21-C21-D21</f>
        <v>1385951.2600000016</v>
      </c>
      <c r="F21" s="7">
        <f>ROUND(E21*0.04,2)-0.01</f>
        <v>55438.04</v>
      </c>
      <c r="G21" s="7">
        <f t="shared" ref="G21" si="204">ROUND(E21*0,2)</f>
        <v>0</v>
      </c>
      <c r="H21" s="7">
        <f t="shared" ref="H21" si="205">E21-F21-G21</f>
        <v>1330513.2200000016</v>
      </c>
      <c r="I21" s="7">
        <f t="shared" ref="I21" si="206">ROUND(H21*0,2)</f>
        <v>0</v>
      </c>
      <c r="J21" s="7">
        <f t="shared" ref="J21" si="207">ROUND((I21*0.58)+((I21*0.42)*0.1),2)</f>
        <v>0</v>
      </c>
      <c r="K21" s="7">
        <f t="shared" ref="K21" si="208">ROUND((I21*0.42)*0.9,2)</f>
        <v>0</v>
      </c>
      <c r="L21" s="18">
        <f t="shared" ref="L21" si="209">IF(J21+K21=I21,H21-I21,"ERROR")</f>
        <v>1330513.2200000016</v>
      </c>
      <c r="M21" s="7">
        <f t="shared" ref="M21" si="210">ROUND(L21*0.465,2)</f>
        <v>618688.65</v>
      </c>
      <c r="N21" s="7">
        <f>ROUND(L21*0.3,2)-0.01</f>
        <v>399153.95999999996</v>
      </c>
      <c r="O21" s="7">
        <f t="shared" ref="O21" si="211">ROUND(L21*0.12,2)</f>
        <v>159661.59</v>
      </c>
      <c r="P21" s="7">
        <f t="shared" ref="P21" si="212">ROUND(L21*0.07,2)</f>
        <v>93135.93</v>
      </c>
      <c r="Q21" s="7">
        <f t="shared" ref="Q21" si="213">ROUND(L21*0.01,2)</f>
        <v>13305.13</v>
      </c>
      <c r="R21" s="7">
        <f t="shared" ref="R21" si="214">ROUND(L21*0.0075,2)</f>
        <v>9978.85</v>
      </c>
      <c r="S21" s="7">
        <f t="shared" ref="S21" si="215">ROUND(L21*0.0075,2)</f>
        <v>9978.85</v>
      </c>
      <c r="T21" s="7">
        <f t="shared" ref="T21" si="216">ROUND(L21*0.01,2)</f>
        <v>13305.13</v>
      </c>
      <c r="U21" s="7">
        <f t="shared" ref="U21" si="217">ROUND(L21*0.01,2)</f>
        <v>13305.13</v>
      </c>
      <c r="V21" s="16">
        <f t="shared" ref="V21" si="218">E21/W21</f>
        <v>1395.7213091641506</v>
      </c>
      <c r="W21" s="8">
        <v>993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B22" s="9"/>
      <c r="V22" s="10"/>
    </row>
    <row r="23" spans="1:96" ht="15" customHeight="1" thickBot="1" x14ac:dyDescent="0.3">
      <c r="B23" s="11">
        <f t="shared" ref="B23:U23" si="219">SUM(B6:B22)</f>
        <v>254602903.57999998</v>
      </c>
      <c r="C23" s="11">
        <f t="shared" si="219"/>
        <v>226186553.14000002</v>
      </c>
      <c r="D23" s="11">
        <f t="shared" si="219"/>
        <v>5249657</v>
      </c>
      <c r="E23" s="11">
        <f t="shared" si="219"/>
        <v>23166693.440000013</v>
      </c>
      <c r="F23" s="11">
        <f t="shared" si="219"/>
        <v>926667.7100000002</v>
      </c>
      <c r="G23" s="11">
        <f t="shared" si="219"/>
        <v>0</v>
      </c>
      <c r="H23" s="11">
        <f t="shared" si="219"/>
        <v>22240025.730000008</v>
      </c>
      <c r="I23" s="11">
        <f t="shared" si="219"/>
        <v>0</v>
      </c>
      <c r="J23" s="11">
        <f t="shared" si="219"/>
        <v>0</v>
      </c>
      <c r="K23" s="11">
        <f t="shared" si="219"/>
        <v>0</v>
      </c>
      <c r="L23" s="11">
        <f t="shared" si="219"/>
        <v>22240025.730000008</v>
      </c>
      <c r="M23" s="11">
        <f t="shared" si="219"/>
        <v>10341611.960000003</v>
      </c>
      <c r="N23" s="11">
        <f t="shared" si="219"/>
        <v>6672007.7800000003</v>
      </c>
      <c r="O23" s="11">
        <f t="shared" si="219"/>
        <v>2685567.03</v>
      </c>
      <c r="P23" s="11">
        <f t="shared" si="219"/>
        <v>1542996.22</v>
      </c>
      <c r="Q23" s="11">
        <f t="shared" si="219"/>
        <v>222400.24000000002</v>
      </c>
      <c r="R23" s="11">
        <f t="shared" si="219"/>
        <v>165321.01</v>
      </c>
      <c r="S23" s="11">
        <f t="shared" si="219"/>
        <v>165321.01</v>
      </c>
      <c r="T23" s="11">
        <f t="shared" si="219"/>
        <v>222400.24000000002</v>
      </c>
      <c r="U23" s="11">
        <f t="shared" si="219"/>
        <v>222400.24000000002</v>
      </c>
      <c r="V23" s="12">
        <f>AVERAGE(V6:V22)</f>
        <v>1450.8655780158672</v>
      </c>
      <c r="W23" s="13">
        <f>AVERAGE(W6:W22)</f>
        <v>997.9375</v>
      </c>
    </row>
    <row r="24" spans="1:96" ht="15" customHeight="1" thickTop="1" x14ac:dyDescent="0.25"/>
    <row r="25" spans="1:96" ht="15" customHeight="1" x14ac:dyDescent="0.25">
      <c r="A25" s="1" t="s">
        <v>32</v>
      </c>
    </row>
    <row r="26" spans="1:96" ht="15" customHeight="1" x14ac:dyDescent="0.25">
      <c r="A26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&amp;CMOUNTAINEER CASINO VIDEO LOTTERY</oddHeader>
  </headerFooter>
  <ignoredErrors>
    <ignoredError sqref="T7:U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R26"/>
  <sheetViews>
    <sheetView workbookViewId="0">
      <pane ySplit="3" topLeftCell="A4" activePane="bottomLeft" state="frozen"/>
      <selection pane="bottomLeft" activeCell="A23" sqref="A23"/>
    </sheetView>
  </sheetViews>
  <sheetFormatPr defaultRowHeight="15" customHeight="1" x14ac:dyDescent="0.25"/>
  <cols>
    <col min="1" max="1" width="11.7109375" customWidth="1"/>
    <col min="2" max="2" width="17.42578125" bestFit="1" customWidth="1"/>
    <col min="3" max="3" width="16.28515625" bestFit="1" customWidth="1"/>
    <col min="4" max="4" width="14.7109375" bestFit="1" customWidth="1"/>
    <col min="5" max="5" width="15.28515625" bestFit="1" customWidth="1"/>
    <col min="6" max="6" width="14.85546875" customWidth="1"/>
    <col min="7" max="7" width="12.7109375" customWidth="1"/>
    <col min="8" max="8" width="15.28515625" bestFit="1" customWidth="1"/>
    <col min="9" max="9" width="11.5703125" hidden="1" customWidth="1"/>
    <col min="10" max="10" width="12.42578125" bestFit="1" customWidth="1"/>
    <col min="11" max="11" width="12.7109375" customWidth="1"/>
    <col min="12" max="12" width="15.28515625" bestFit="1" customWidth="1"/>
    <col min="13" max="13" width="15.85546875" customWidth="1"/>
    <col min="14" max="15" width="14.7109375" bestFit="1" customWidth="1"/>
    <col min="16" max="16" width="14.28515625" bestFit="1" customWidth="1"/>
    <col min="17" max="19" width="12.5703125" bestFit="1" customWidth="1"/>
    <col min="20" max="20" width="13.7109375" bestFit="1" customWidth="1"/>
    <col min="21" max="21" width="12" bestFit="1" customWidth="1"/>
    <col min="22" max="22" width="10.5703125" bestFit="1" customWidth="1"/>
    <col min="23" max="23" width="13.5703125" bestFit="1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23</v>
      </c>
      <c r="U1" s="2" t="s">
        <v>22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1006010693.4409999</v>
      </c>
      <c r="C2" s="4">
        <v>902350581.18000019</v>
      </c>
      <c r="D2" s="4">
        <v>18178141.790000003</v>
      </c>
      <c r="E2" s="4">
        <v>85481970.470999971</v>
      </c>
      <c r="F2" s="4">
        <v>3419278.8199999994</v>
      </c>
      <c r="G2" s="4">
        <v>0</v>
      </c>
      <c r="H2" s="4">
        <v>82062691.650999978</v>
      </c>
      <c r="I2" s="4">
        <v>0</v>
      </c>
      <c r="J2" s="4">
        <v>0</v>
      </c>
      <c r="K2" s="4">
        <v>0</v>
      </c>
      <c r="L2" s="4">
        <v>82062691.650999978</v>
      </c>
      <c r="M2" s="4">
        <v>38159151.629999995</v>
      </c>
      <c r="N2" s="4">
        <v>24618807.509999998</v>
      </c>
      <c r="O2" s="4">
        <v>10545055.819999998</v>
      </c>
      <c r="P2" s="4">
        <v>5169949.5899999989</v>
      </c>
      <c r="Q2" s="4">
        <v>820626.91999999993</v>
      </c>
      <c r="R2" s="4">
        <v>553923.17000000016</v>
      </c>
      <c r="S2" s="4">
        <v>553923.17000000016</v>
      </c>
      <c r="T2" s="4">
        <v>1205283.8599999999</v>
      </c>
      <c r="U2" s="4">
        <v>435969.98000000004</v>
      </c>
      <c r="V2" s="4">
        <v>1650.06</v>
      </c>
      <c r="W2" s="8">
        <v>977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16638838.390000004</v>
      </c>
      <c r="C6" s="7">
        <v>14891570.690000001</v>
      </c>
      <c r="D6" s="7">
        <v>268793.07999999996</v>
      </c>
      <c r="E6" s="7">
        <f t="shared" ref="E6" si="0">B6-C6-D6</f>
        <v>1478474.6200000029</v>
      </c>
      <c r="F6" s="7">
        <f>ROUND(E6*0.04,2)+0.01</f>
        <v>59138.990000000005</v>
      </c>
      <c r="G6" s="7">
        <f t="shared" ref="G6" si="1">ROUND(E6*0,2)</f>
        <v>0</v>
      </c>
      <c r="H6" s="7">
        <f t="shared" ref="H6" si="2">E6-F6-G6</f>
        <v>1419335.6300000029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1419335.6300000029</v>
      </c>
      <c r="M6" s="7">
        <f t="shared" ref="M6" si="7">ROUND(L6*0.465,2)</f>
        <v>659991.06999999995</v>
      </c>
      <c r="N6" s="7">
        <f>ROUND(L6*0.3,2)-0.02</f>
        <v>425800.67</v>
      </c>
      <c r="O6" s="7">
        <f t="shared" ref="O6" si="8">ROUND(L6*0.1285,2)</f>
        <v>182384.63</v>
      </c>
      <c r="P6" s="7">
        <f t="shared" ref="P6" si="9">ROUND((L6*0.07)*0.9,2)</f>
        <v>89418.14</v>
      </c>
      <c r="Q6" s="7">
        <f t="shared" ref="Q6" si="10">ROUND(L6*0.01,2)</f>
        <v>14193.36</v>
      </c>
      <c r="R6" s="7">
        <f t="shared" ref="R6" si="11">ROUND((L6*0.0075)*0.9,2)</f>
        <v>9580.52</v>
      </c>
      <c r="S6" s="7">
        <f t="shared" ref="S6" si="12">ROUND((L6*0.0075)*0.9,2)</f>
        <v>9580.52</v>
      </c>
      <c r="T6" s="7">
        <f>ROUND(L6*0.02,2)+0.01</f>
        <v>28386.719999999998</v>
      </c>
      <c r="U6" s="7">
        <f t="shared" ref="U6" si="13">ROUND(M6*0,2)</f>
        <v>0</v>
      </c>
      <c r="V6" s="16">
        <f t="shared" ref="V6" si="14">E6/W6</f>
        <v>1530.5120289855101</v>
      </c>
      <c r="W6" s="8">
        <v>966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20209407.969999999</v>
      </c>
      <c r="C7" s="7">
        <v>18098216.359999999</v>
      </c>
      <c r="D7" s="7">
        <v>333740.75</v>
      </c>
      <c r="E7" s="7">
        <f t="shared" ref="E7" si="15">B7-C7-D7</f>
        <v>1777450.8599999994</v>
      </c>
      <c r="F7" s="7">
        <f>ROUND(E7*0.04,2)</f>
        <v>71098.03</v>
      </c>
      <c r="G7" s="7">
        <f t="shared" ref="G7" si="16">ROUND(E7*0,2)</f>
        <v>0</v>
      </c>
      <c r="H7" s="7">
        <f t="shared" ref="H7" si="17">E7-F7-G7</f>
        <v>1706352.8299999994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1706352.8299999994</v>
      </c>
      <c r="M7" s="7">
        <f t="shared" ref="M7" si="22">ROUND(L7*0.465,2)</f>
        <v>793454.07</v>
      </c>
      <c r="N7" s="7">
        <f>ROUND(L7*0.3,2)-0.02</f>
        <v>511905.82999999996</v>
      </c>
      <c r="O7" s="7">
        <v>210668.79999999999</v>
      </c>
      <c r="P7" s="7">
        <v>114580.56</v>
      </c>
      <c r="Q7" s="7">
        <v>17063.53</v>
      </c>
      <c r="R7" s="7">
        <v>12276.49</v>
      </c>
      <c r="S7" s="7">
        <v>12276.49</v>
      </c>
      <c r="T7" s="7">
        <f>ROUND(L7*0.02,2)</f>
        <v>34127.06</v>
      </c>
      <c r="U7" s="7">
        <f t="shared" ref="U7" si="23">ROUND(M7*0,2)</f>
        <v>0</v>
      </c>
      <c r="V7" s="16">
        <f t="shared" ref="V7" si="24">E7/W7</f>
        <v>1865.111080797481</v>
      </c>
      <c r="W7" s="8">
        <v>953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21472978.75</v>
      </c>
      <c r="C8" s="7">
        <v>19362296.059999999</v>
      </c>
      <c r="D8" s="7">
        <v>347997.16000000003</v>
      </c>
      <c r="E8" s="7">
        <f t="shared" ref="E8" si="25">B8-C8-D8</f>
        <v>1762685.5300000012</v>
      </c>
      <c r="F8" s="7">
        <f>ROUND(E8*0.04,2)</f>
        <v>70507.42</v>
      </c>
      <c r="G8" s="7">
        <f t="shared" ref="G8" si="26">ROUND(E8*0,2)</f>
        <v>0</v>
      </c>
      <c r="H8" s="7">
        <f t="shared" ref="H8" si="27">E8-F8-G8</f>
        <v>1692178.1100000013</v>
      </c>
      <c r="I8" s="7">
        <f t="shared" ref="I8" si="28">ROUND(H8*0,2)</f>
        <v>0</v>
      </c>
      <c r="J8" s="7">
        <f t="shared" ref="J8" si="29">ROUND((I8*0.58)+((I8*0.42)*0.1),2)</f>
        <v>0</v>
      </c>
      <c r="K8" s="7">
        <f t="shared" ref="K8" si="30">ROUND((I8*0.42)*0.9,2)</f>
        <v>0</v>
      </c>
      <c r="L8" s="18">
        <f t="shared" ref="L8" si="31">IF(J8+K8=I8,H8-I8,"ERROR")</f>
        <v>1692178.1100000013</v>
      </c>
      <c r="M8" s="7">
        <f t="shared" ref="M8" si="32">ROUND(L8*0.465,2)</f>
        <v>786862.82</v>
      </c>
      <c r="N8" s="7">
        <f>ROUND(L8*0.3,2)</f>
        <v>507653.43</v>
      </c>
      <c r="O8" s="7">
        <f t="shared" ref="O8:O13" si="33">ROUND(L8*0.12,2)</f>
        <v>203061.37</v>
      </c>
      <c r="P8" s="7">
        <f t="shared" ref="P8:P13" si="34">ROUND(L8*0.07,2)</f>
        <v>118452.47</v>
      </c>
      <c r="Q8" s="7">
        <f t="shared" ref="Q8" si="35">ROUND(L8*0.01,2)</f>
        <v>16921.78</v>
      </c>
      <c r="R8" s="7">
        <f t="shared" ref="R8:R13" si="36">ROUND(L8*0.0075,2)</f>
        <v>12691.34</v>
      </c>
      <c r="S8" s="7">
        <f t="shared" ref="S8:S13" si="37">ROUND(L8*0.0075,2)</f>
        <v>12691.34</v>
      </c>
      <c r="T8" s="7">
        <f>ROUND(L8*0.02,2)</f>
        <v>33843.56</v>
      </c>
      <c r="U8" s="7">
        <f t="shared" ref="U8" si="38">ROUND(M8*0,2)</f>
        <v>0</v>
      </c>
      <c r="V8" s="16">
        <f t="shared" ref="V8" si="39">E8/W8</f>
        <v>1865.2756931216943</v>
      </c>
      <c r="W8" s="8">
        <v>945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20156240.050000001</v>
      </c>
      <c r="C9" s="7">
        <v>18169541.359999999</v>
      </c>
      <c r="D9" s="7">
        <v>356304.56</v>
      </c>
      <c r="E9" s="7">
        <f t="shared" ref="E9" si="40">B9-C9-D9</f>
        <v>1630394.1300000013</v>
      </c>
      <c r="F9" s="7">
        <f>ROUND(E9*0.04,2)-0.01</f>
        <v>65215.759999999995</v>
      </c>
      <c r="G9" s="7">
        <f t="shared" ref="G9" si="41">ROUND(E9*0,2)</f>
        <v>0</v>
      </c>
      <c r="H9" s="7">
        <f t="shared" ref="H9" si="42">E9-F9-G9</f>
        <v>1565178.3700000013</v>
      </c>
      <c r="I9" s="7">
        <f t="shared" ref="I9" si="43">ROUND(H9*0,2)</f>
        <v>0</v>
      </c>
      <c r="J9" s="7">
        <f t="shared" ref="J9" si="44">ROUND((I9*0.58)+((I9*0.42)*0.1),2)</f>
        <v>0</v>
      </c>
      <c r="K9" s="7">
        <f t="shared" ref="K9" si="45">ROUND((I9*0.42)*0.9,2)</f>
        <v>0</v>
      </c>
      <c r="L9" s="18">
        <f t="shared" ref="L9" si="46">IF(J9+K9=I9,H9-I9,"ERROR")</f>
        <v>1565178.3700000013</v>
      </c>
      <c r="M9" s="7">
        <f t="shared" ref="M9" si="47">ROUND(L9*0.465,2)</f>
        <v>727807.94</v>
      </c>
      <c r="N9" s="7">
        <f>ROUND(L9*0.3,2)+0.01</f>
        <v>469553.52</v>
      </c>
      <c r="O9" s="7">
        <f t="shared" si="33"/>
        <v>187821.4</v>
      </c>
      <c r="P9" s="7">
        <f t="shared" si="34"/>
        <v>109562.49</v>
      </c>
      <c r="Q9" s="7">
        <f t="shared" ref="Q9" si="48">ROUND(L9*0.01,2)</f>
        <v>15651.78</v>
      </c>
      <c r="R9" s="7">
        <f t="shared" si="36"/>
        <v>11738.84</v>
      </c>
      <c r="S9" s="7">
        <f t="shared" si="37"/>
        <v>11738.84</v>
      </c>
      <c r="T9" s="7">
        <f>ROUND(L9*0.02,2)-0.01</f>
        <v>31303.56</v>
      </c>
      <c r="U9" s="7">
        <f t="shared" ref="U9" si="49">ROUND(M9*0,2)</f>
        <v>0</v>
      </c>
      <c r="V9" s="16">
        <f t="shared" ref="V9" si="50">E9/W9</f>
        <v>1743.7370374331565</v>
      </c>
      <c r="W9" s="8">
        <v>935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20363117.93</v>
      </c>
      <c r="C10" s="7">
        <v>18133991.93</v>
      </c>
      <c r="D10" s="7">
        <v>365747.54000000004</v>
      </c>
      <c r="E10" s="7">
        <f t="shared" ref="E10" si="51">B10-C10-D10</f>
        <v>1863378.46</v>
      </c>
      <c r="F10" s="7">
        <f>ROUND(E10*0.04,2)</f>
        <v>74535.14</v>
      </c>
      <c r="G10" s="7">
        <f t="shared" ref="G10" si="52">ROUND(E10*0,2)</f>
        <v>0</v>
      </c>
      <c r="H10" s="7">
        <f t="shared" ref="H10" si="53">E10-F10-G10</f>
        <v>1788843.32</v>
      </c>
      <c r="I10" s="7">
        <f t="shared" ref="I10" si="54">ROUND(H10*0,2)</f>
        <v>0</v>
      </c>
      <c r="J10" s="7">
        <f t="shared" ref="J10" si="55">ROUND((I10*0.58)+((I10*0.42)*0.1),2)</f>
        <v>0</v>
      </c>
      <c r="K10" s="7">
        <f t="shared" ref="K10" si="56">ROUND((I10*0.42)*0.9,2)</f>
        <v>0</v>
      </c>
      <c r="L10" s="18">
        <f t="shared" ref="L10" si="57">IF(J10+K10=I10,H10-I10,"ERROR")</f>
        <v>1788843.32</v>
      </c>
      <c r="M10" s="7">
        <f t="shared" ref="M10" si="58">ROUND(L10*0.465,2)</f>
        <v>831812.14</v>
      </c>
      <c r="N10" s="7">
        <f>ROUND(L10*0.3,2)+0.02</f>
        <v>536653.02</v>
      </c>
      <c r="O10" s="7">
        <f t="shared" si="33"/>
        <v>214661.2</v>
      </c>
      <c r="P10" s="7">
        <f t="shared" si="34"/>
        <v>125219.03</v>
      </c>
      <c r="Q10" s="7">
        <f t="shared" ref="Q10" si="59">ROUND(L10*0.01,2)</f>
        <v>17888.43</v>
      </c>
      <c r="R10" s="7">
        <f t="shared" si="36"/>
        <v>13416.32</v>
      </c>
      <c r="S10" s="7">
        <f t="shared" si="37"/>
        <v>13416.32</v>
      </c>
      <c r="T10" s="7">
        <f>ROUND(L10*0.02,2)-0.01</f>
        <v>35776.86</v>
      </c>
      <c r="U10" s="7">
        <f t="shared" ref="U10" si="60">ROUND(M10*0,2)</f>
        <v>0</v>
      </c>
      <c r="V10" s="16">
        <f t="shared" ref="V10" si="61">E10/W10</f>
        <v>1997.1902036441586</v>
      </c>
      <c r="W10" s="8">
        <v>933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18853950.52</v>
      </c>
      <c r="C11" s="7">
        <v>16815285.460000001</v>
      </c>
      <c r="D11" s="7">
        <v>330738.96000000002</v>
      </c>
      <c r="E11" s="7">
        <f t="shared" ref="E11" si="62">B11-C11-D11</f>
        <v>1707926.0999999987</v>
      </c>
      <c r="F11" s="7">
        <f>ROUND(E11*0.04,2)+0.01</f>
        <v>68317.049999999988</v>
      </c>
      <c r="G11" s="7">
        <f t="shared" ref="G11" si="63">ROUND(E11*0,2)</f>
        <v>0</v>
      </c>
      <c r="H11" s="7">
        <f t="shared" ref="H11" si="64">E11-F11-G11</f>
        <v>1639609.0499999986</v>
      </c>
      <c r="I11" s="7">
        <f t="shared" ref="I11" si="65">ROUND(H11*0,2)</f>
        <v>0</v>
      </c>
      <c r="J11" s="7">
        <f t="shared" ref="J11" si="66">ROUND((I11*0.58)+((I11*0.42)*0.1),2)</f>
        <v>0</v>
      </c>
      <c r="K11" s="7">
        <f t="shared" ref="K11" si="67">ROUND((I11*0.42)*0.9,2)</f>
        <v>0</v>
      </c>
      <c r="L11" s="18">
        <f t="shared" ref="L11" si="68">IF(J11+K11=I11,H11-I11,"ERROR")</f>
        <v>1639609.0499999986</v>
      </c>
      <c r="M11" s="7">
        <f t="shared" ref="M11" si="69">ROUND(L11*0.465,2)</f>
        <v>762418.21</v>
      </c>
      <c r="N11" s="7">
        <f>ROUND(L11*0.3,2)-0.01</f>
        <v>491882.70999999996</v>
      </c>
      <c r="O11" s="7">
        <f t="shared" si="33"/>
        <v>196753.09</v>
      </c>
      <c r="P11" s="7">
        <f t="shared" si="34"/>
        <v>114772.63</v>
      </c>
      <c r="Q11" s="7">
        <f t="shared" ref="Q11" si="70">ROUND(L11*0.01,2)</f>
        <v>16396.09</v>
      </c>
      <c r="R11" s="7">
        <f t="shared" si="36"/>
        <v>12297.07</v>
      </c>
      <c r="S11" s="7">
        <f t="shared" si="37"/>
        <v>12297.07</v>
      </c>
      <c r="T11" s="7">
        <f>ROUND(L11*0.02,2)</f>
        <v>32792.18</v>
      </c>
      <c r="U11" s="7">
        <f t="shared" ref="U11" si="71">ROUND(M11*0,2)</f>
        <v>0</v>
      </c>
      <c r="V11" s="16">
        <f t="shared" ref="V11" si="72">E11/W11</f>
        <v>1818.8776357827462</v>
      </c>
      <c r="W11" s="8">
        <v>939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19090132.990000002</v>
      </c>
      <c r="C12" s="7">
        <v>17095751.390000001</v>
      </c>
      <c r="D12" s="7">
        <v>341037.41</v>
      </c>
      <c r="E12" s="7">
        <f t="shared" ref="E12" si="73">B12-C12-D12</f>
        <v>1653344.1900000016</v>
      </c>
      <c r="F12" s="7">
        <f>ROUND(E12*0.04,2)</f>
        <v>66133.77</v>
      </c>
      <c r="G12" s="7">
        <f t="shared" ref="G12" si="74">ROUND(E12*0,2)</f>
        <v>0</v>
      </c>
      <c r="H12" s="7">
        <f t="shared" ref="H12" si="75">E12-F12-G12</f>
        <v>1587210.4200000016</v>
      </c>
      <c r="I12" s="7">
        <f t="shared" ref="I12" si="76">ROUND(H12*0,2)</f>
        <v>0</v>
      </c>
      <c r="J12" s="7">
        <f t="shared" ref="J12" si="77">ROUND((I12*0.58)+((I12*0.42)*0.1),2)</f>
        <v>0</v>
      </c>
      <c r="K12" s="7">
        <f t="shared" ref="K12" si="78">ROUND((I12*0.42)*0.9,2)</f>
        <v>0</v>
      </c>
      <c r="L12" s="18">
        <f t="shared" ref="L12" si="79">IF(J12+K12=I12,H12-I12,"ERROR")</f>
        <v>1587210.4200000016</v>
      </c>
      <c r="M12" s="7">
        <f t="shared" ref="M12" si="80">ROUND(L12*0.465,2)</f>
        <v>738052.85</v>
      </c>
      <c r="N12" s="7">
        <f>ROUND(L12*0.3,2)</f>
        <v>476163.13</v>
      </c>
      <c r="O12" s="7">
        <f t="shared" si="33"/>
        <v>190465.25</v>
      </c>
      <c r="P12" s="7">
        <f t="shared" si="34"/>
        <v>111104.73</v>
      </c>
      <c r="Q12" s="7">
        <f t="shared" ref="Q12" si="81">ROUND(L12*0.01,2)</f>
        <v>15872.1</v>
      </c>
      <c r="R12" s="7">
        <f t="shared" si="36"/>
        <v>11904.08</v>
      </c>
      <c r="S12" s="7">
        <f t="shared" si="37"/>
        <v>11904.08</v>
      </c>
      <c r="T12" s="7">
        <f>ROUND(L12*0.02,2)-0.01</f>
        <v>31744.2</v>
      </c>
      <c r="U12" s="7">
        <f t="shared" ref="U12" si="82">ROUND(M12*0,2)</f>
        <v>0</v>
      </c>
      <c r="V12" s="16">
        <f t="shared" ref="V12" si="83">E12/W12</f>
        <v>1731.2504607329859</v>
      </c>
      <c r="W12" s="8">
        <v>955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18256144.02</v>
      </c>
      <c r="C13" s="7">
        <v>16422832.550000001</v>
      </c>
      <c r="D13" s="7">
        <v>322061.88</v>
      </c>
      <c r="E13" s="7">
        <f t="shared" ref="E13" si="84">B13-C13-D13</f>
        <v>1511249.5899999989</v>
      </c>
      <c r="F13" s="7">
        <f>ROUND(E13*0.04,2)+0.01</f>
        <v>60449.990000000005</v>
      </c>
      <c r="G13" s="7">
        <f t="shared" ref="G13" si="85">ROUND(E13*0,2)</f>
        <v>0</v>
      </c>
      <c r="H13" s="7">
        <f t="shared" ref="H13" si="86">E13-F13-G13</f>
        <v>1450799.5999999989</v>
      </c>
      <c r="I13" s="7">
        <f t="shared" ref="I13" si="87">ROUND(H13*0,2)</f>
        <v>0</v>
      </c>
      <c r="J13" s="7">
        <f t="shared" ref="J13" si="88">ROUND((I13*0.58)+((I13*0.42)*0.1),2)</f>
        <v>0</v>
      </c>
      <c r="K13" s="7">
        <f t="shared" ref="K13" si="89">ROUND((I13*0.42)*0.9,2)</f>
        <v>0</v>
      </c>
      <c r="L13" s="18">
        <f t="shared" ref="L13" si="90">IF(J13+K13=I13,H13-I13,"ERROR")</f>
        <v>1450799.5999999989</v>
      </c>
      <c r="M13" s="7">
        <f t="shared" ref="M13" si="91">ROUND(L13*0.465,2)</f>
        <v>674621.81</v>
      </c>
      <c r="N13" s="7">
        <f>ROUND(L13*0.3,2)-0.01</f>
        <v>435239.87</v>
      </c>
      <c r="O13" s="7">
        <f t="shared" si="33"/>
        <v>174095.95</v>
      </c>
      <c r="P13" s="7">
        <f t="shared" si="34"/>
        <v>101555.97</v>
      </c>
      <c r="Q13" s="7">
        <f t="shared" ref="Q13" si="92">ROUND(L13*0.01,2)</f>
        <v>14508</v>
      </c>
      <c r="R13" s="7">
        <f t="shared" si="36"/>
        <v>10881</v>
      </c>
      <c r="S13" s="7">
        <f t="shared" si="37"/>
        <v>10881</v>
      </c>
      <c r="T13" s="7">
        <f>ROUND(L13*0.02,2)+0.01</f>
        <v>29016</v>
      </c>
      <c r="U13" s="7">
        <f t="shared" ref="U13" si="93">ROUND(M13*0,2)</f>
        <v>0</v>
      </c>
      <c r="V13" s="16">
        <f t="shared" ref="V13" si="94">E13/W13</f>
        <v>1599.2059153439143</v>
      </c>
      <c r="W13" s="8">
        <v>945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45899</v>
      </c>
      <c r="B14" s="7">
        <v>20999771.169999998</v>
      </c>
      <c r="C14" s="7">
        <v>18973954.359999999</v>
      </c>
      <c r="D14" s="7">
        <v>394858.88</v>
      </c>
      <c r="E14" s="7">
        <f t="shared" ref="E14" si="95">B14-C14-D14</f>
        <v>1630957.9299999988</v>
      </c>
      <c r="F14" s="7">
        <f>ROUND(E14*0.04,2)</f>
        <v>65238.32</v>
      </c>
      <c r="G14" s="7">
        <f t="shared" ref="G14" si="96">ROUND(E14*0,2)</f>
        <v>0</v>
      </c>
      <c r="H14" s="7">
        <f t="shared" ref="H14" si="97">E14-F14-G14</f>
        <v>1565719.6099999987</v>
      </c>
      <c r="I14" s="7">
        <f t="shared" ref="I14" si="98">ROUND(H14*0,2)</f>
        <v>0</v>
      </c>
      <c r="J14" s="7">
        <f t="shared" ref="J14" si="99">ROUND((I14*0.58)+((I14*0.42)*0.1),2)</f>
        <v>0</v>
      </c>
      <c r="K14" s="7">
        <f t="shared" ref="K14" si="100">ROUND((I14*0.42)*0.9,2)</f>
        <v>0</v>
      </c>
      <c r="L14" s="18">
        <f t="shared" ref="L14" si="101">IF(J14+K14=I14,H14-I14,"ERROR")</f>
        <v>1565719.6099999987</v>
      </c>
      <c r="M14" s="7">
        <f t="shared" ref="M14" si="102">ROUND(L14*0.465,2)</f>
        <v>728059.62</v>
      </c>
      <c r="N14" s="7">
        <f>ROUND(L14*0.3,2)-0.01</f>
        <v>469715.87</v>
      </c>
      <c r="O14" s="7">
        <f t="shared" ref="O14" si="103">ROUND(L14*0.12,2)</f>
        <v>187886.35</v>
      </c>
      <c r="P14" s="7">
        <f t="shared" ref="P14" si="104">ROUND(L14*0.07,2)</f>
        <v>109600.37</v>
      </c>
      <c r="Q14" s="7">
        <f t="shared" ref="Q14" si="105">ROUND(L14*0.01,2)</f>
        <v>15657.2</v>
      </c>
      <c r="R14" s="7">
        <f t="shared" ref="R14" si="106">ROUND(L14*0.0075,2)</f>
        <v>11742.9</v>
      </c>
      <c r="S14" s="7">
        <f t="shared" ref="S14" si="107">ROUND(L14*0.0075,2)</f>
        <v>11742.9</v>
      </c>
      <c r="T14" s="7">
        <f>ROUND(L14*0.02,2)+0.01</f>
        <v>31314.399999999998</v>
      </c>
      <c r="U14" s="7">
        <f t="shared" ref="U14" si="108">ROUND(M14*0,2)</f>
        <v>0</v>
      </c>
      <c r="V14" s="16">
        <f t="shared" ref="V14" si="109">E14/W14</f>
        <v>1729.5418133616106</v>
      </c>
      <c r="W14" s="8">
        <v>943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45906</v>
      </c>
      <c r="B15" s="7">
        <v>21336352.75</v>
      </c>
      <c r="C15" s="7">
        <v>19266754.690000001</v>
      </c>
      <c r="D15" s="7">
        <v>385836.02</v>
      </c>
      <c r="E15" s="7">
        <f t="shared" ref="E15" si="110">B15-C15-D15</f>
        <v>1683762.0399999986</v>
      </c>
      <c r="F15" s="7">
        <f>ROUND(E15*0.04,2)-0.01</f>
        <v>67350.47</v>
      </c>
      <c r="G15" s="7">
        <f t="shared" ref="G15" si="111">ROUND(E15*0,2)</f>
        <v>0</v>
      </c>
      <c r="H15" s="7">
        <f t="shared" ref="H15" si="112">E15-F15-G15</f>
        <v>1616411.5699999987</v>
      </c>
      <c r="I15" s="7">
        <f t="shared" ref="I15" si="113">ROUND(H15*0,2)</f>
        <v>0</v>
      </c>
      <c r="J15" s="7">
        <f t="shared" ref="J15" si="114">ROUND((I15*0.58)+((I15*0.42)*0.1),2)</f>
        <v>0</v>
      </c>
      <c r="K15" s="7">
        <f t="shared" ref="K15" si="115">ROUND((I15*0.42)*0.9,2)</f>
        <v>0</v>
      </c>
      <c r="L15" s="18">
        <f t="shared" ref="L15" si="116">IF(J15+K15=I15,H15-I15,"ERROR")</f>
        <v>1616411.5699999987</v>
      </c>
      <c r="M15" s="7">
        <f t="shared" ref="M15" si="117">ROUND(L15*0.465,2)</f>
        <v>751631.38</v>
      </c>
      <c r="N15" s="7">
        <f>ROUND(L15*0.3,2)-0.02</f>
        <v>484923.44999999995</v>
      </c>
      <c r="O15" s="7">
        <f t="shared" ref="O15" si="118">ROUND(L15*0.12,2)</f>
        <v>193969.39</v>
      </c>
      <c r="P15" s="7">
        <f t="shared" ref="P15" si="119">ROUND(L15*0.07,2)</f>
        <v>113148.81</v>
      </c>
      <c r="Q15" s="7">
        <f t="shared" ref="Q15" si="120">ROUND(L15*0.01,2)</f>
        <v>16164.12</v>
      </c>
      <c r="R15" s="7">
        <f t="shared" ref="R15" si="121">ROUND(L15*0.0075,2)</f>
        <v>12123.09</v>
      </c>
      <c r="S15" s="7">
        <f t="shared" ref="S15" si="122">ROUND(L15*0.0075,2)</f>
        <v>12123.09</v>
      </c>
      <c r="T15" s="7">
        <f>ROUND(L15*0.02,2)+0.01</f>
        <v>32328.239999999998</v>
      </c>
      <c r="U15" s="7">
        <f t="shared" ref="U15" si="123">ROUND(M15*0,2)</f>
        <v>0</v>
      </c>
      <c r="V15" s="16">
        <f t="shared" ref="V15" si="124">E15/W15</f>
        <v>1761.257364016735</v>
      </c>
      <c r="W15" s="8">
        <v>956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45913</v>
      </c>
      <c r="B16" s="7">
        <v>18605647.469999999</v>
      </c>
      <c r="C16" s="7">
        <v>16628071.599999998</v>
      </c>
      <c r="D16" s="7">
        <v>319026.52</v>
      </c>
      <c r="E16" s="7">
        <f t="shared" ref="E16" si="125">B16-C16-D16</f>
        <v>1658549.350000001</v>
      </c>
      <c r="F16" s="7">
        <f>ROUND(E16*0.04,2)+0.01</f>
        <v>66341.98</v>
      </c>
      <c r="G16" s="7">
        <f t="shared" ref="G16" si="126">ROUND(E16*0,2)</f>
        <v>0</v>
      </c>
      <c r="H16" s="7">
        <f t="shared" ref="H16" si="127">E16-F16-G16</f>
        <v>1592207.370000001</v>
      </c>
      <c r="I16" s="7">
        <f t="shared" ref="I16" si="128">ROUND(H16*0,2)</f>
        <v>0</v>
      </c>
      <c r="J16" s="7">
        <f t="shared" ref="J16" si="129">ROUND((I16*0.58)+((I16*0.42)*0.1),2)</f>
        <v>0</v>
      </c>
      <c r="K16" s="7">
        <f t="shared" ref="K16" si="130">ROUND((I16*0.42)*0.9,2)</f>
        <v>0</v>
      </c>
      <c r="L16" s="18">
        <f t="shared" ref="L16" si="131">IF(J16+K16=I16,H16-I16,"ERROR")</f>
        <v>1592207.370000001</v>
      </c>
      <c r="M16" s="7">
        <f t="shared" ref="M16" si="132">ROUND(L16*0.465,2)</f>
        <v>740376.43</v>
      </c>
      <c r="N16" s="7">
        <f>ROUND(L16*0.3,2)</f>
        <v>477662.21</v>
      </c>
      <c r="O16" s="7">
        <f t="shared" ref="O16" si="133">ROUND(L16*0.12,2)</f>
        <v>191064.88</v>
      </c>
      <c r="P16" s="7">
        <f t="shared" ref="P16" si="134">ROUND(L16*0.07,2)</f>
        <v>111454.52</v>
      </c>
      <c r="Q16" s="7">
        <f t="shared" ref="Q16" si="135">ROUND(L16*0.01,2)</f>
        <v>15922.07</v>
      </c>
      <c r="R16" s="7">
        <f t="shared" ref="R16" si="136">ROUND(L16*0.0075,2)</f>
        <v>11941.56</v>
      </c>
      <c r="S16" s="7">
        <f t="shared" ref="S16" si="137">ROUND(L16*0.0075,2)</f>
        <v>11941.56</v>
      </c>
      <c r="T16" s="7">
        <f>ROUND(L16*0.02,2)-0.01</f>
        <v>31844.140000000003</v>
      </c>
      <c r="U16" s="7">
        <f t="shared" ref="U16" si="138">ROUND(M16*0,2)</f>
        <v>0</v>
      </c>
      <c r="V16" s="16">
        <f t="shared" ref="V16" si="139">E16/W16</f>
        <v>1773.8495721925144</v>
      </c>
      <c r="W16" s="8">
        <v>935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45920</v>
      </c>
      <c r="B17" s="7">
        <v>19161053.890000001</v>
      </c>
      <c r="C17" s="7">
        <v>17207111.84</v>
      </c>
      <c r="D17" s="7">
        <v>344551.65</v>
      </c>
      <c r="E17" s="7">
        <f t="shared" ref="E17" si="140">B17-C17-D17</f>
        <v>1609390.4000000008</v>
      </c>
      <c r="F17" s="7">
        <f>ROUND(E17*0.04,2)-0.01</f>
        <v>64375.61</v>
      </c>
      <c r="G17" s="7">
        <f t="shared" ref="G17" si="141">ROUND(E17*0,2)</f>
        <v>0</v>
      </c>
      <c r="H17" s="7">
        <f t="shared" ref="H17" si="142">E17-F17-G17</f>
        <v>1545014.7900000007</v>
      </c>
      <c r="I17" s="7">
        <f t="shared" ref="I17" si="143">ROUND(H17*0,2)</f>
        <v>0</v>
      </c>
      <c r="J17" s="7">
        <f t="shared" ref="J17" si="144">ROUND((I17*0.58)+((I17*0.42)*0.1),2)</f>
        <v>0</v>
      </c>
      <c r="K17" s="7">
        <f t="shared" ref="K17" si="145">ROUND((I17*0.42)*0.9,2)</f>
        <v>0</v>
      </c>
      <c r="L17" s="18">
        <f t="shared" ref="L17" si="146">IF(J17+K17=I17,H17-I17,"ERROR")</f>
        <v>1545014.7900000007</v>
      </c>
      <c r="M17" s="7">
        <f t="shared" ref="M17" si="147">ROUND(L17*0.465,2)</f>
        <v>718431.88</v>
      </c>
      <c r="N17" s="7">
        <f>ROUND(L17*0.3,2)-0.01</f>
        <v>463504.43</v>
      </c>
      <c r="O17" s="7">
        <f t="shared" ref="O17" si="148">ROUND(L17*0.12,2)</f>
        <v>185401.77</v>
      </c>
      <c r="P17" s="7">
        <f t="shared" ref="P17" si="149">ROUND(L17*0.07,2)</f>
        <v>108151.03999999999</v>
      </c>
      <c r="Q17" s="7">
        <f t="shared" ref="Q17" si="150">ROUND(L17*0.01,2)</f>
        <v>15450.15</v>
      </c>
      <c r="R17" s="7">
        <f t="shared" ref="R17" si="151">ROUND(L17*0.0075,2)</f>
        <v>11587.61</v>
      </c>
      <c r="S17" s="7">
        <f t="shared" ref="S17" si="152">ROUND(L17*0.0075,2)</f>
        <v>11587.61</v>
      </c>
      <c r="T17" s="7">
        <f>ROUND(L17*0.02,2)</f>
        <v>30900.3</v>
      </c>
      <c r="U17" s="7">
        <f t="shared" ref="U17" si="153">ROUND(M17*0,2)</f>
        <v>0</v>
      </c>
      <c r="V17" s="16">
        <f t="shared" ref="V17" si="154">E17/W17</f>
        <v>1712.1174468085114</v>
      </c>
      <c r="W17" s="8">
        <v>940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45927</v>
      </c>
      <c r="B18" s="7">
        <v>19696094.539999999</v>
      </c>
      <c r="C18" s="7">
        <v>17528239.189999998</v>
      </c>
      <c r="D18" s="7">
        <v>342317.91000000003</v>
      </c>
      <c r="E18" s="7">
        <f t="shared" ref="E18" si="155">B18-C18-D18</f>
        <v>1825537.4400000013</v>
      </c>
      <c r="F18" s="7">
        <f>ROUND(E18*0.04,2)</f>
        <v>73021.5</v>
      </c>
      <c r="G18" s="7">
        <f t="shared" ref="G18" si="156">ROUND(E18*0,2)</f>
        <v>0</v>
      </c>
      <c r="H18" s="7">
        <f t="shared" ref="H18" si="157">E18-F18-G18</f>
        <v>1752515.9400000013</v>
      </c>
      <c r="I18" s="7">
        <f t="shared" ref="I18" si="158">ROUND(H18*0,2)</f>
        <v>0</v>
      </c>
      <c r="J18" s="7">
        <f t="shared" ref="J18" si="159">ROUND((I18*0.58)+((I18*0.42)*0.1),2)</f>
        <v>0</v>
      </c>
      <c r="K18" s="7">
        <f t="shared" ref="K18" si="160">ROUND((I18*0.42)*0.9,2)</f>
        <v>0</v>
      </c>
      <c r="L18" s="18">
        <f t="shared" ref="L18" si="161">IF(J18+K18=I18,H18-I18,"ERROR")</f>
        <v>1752515.9400000013</v>
      </c>
      <c r="M18" s="7">
        <f t="shared" ref="M18" si="162">ROUND(L18*0.465,2)</f>
        <v>814919.91</v>
      </c>
      <c r="N18" s="7">
        <f>ROUND(L18*0.3,2)</f>
        <v>525754.78</v>
      </c>
      <c r="O18" s="7">
        <f t="shared" ref="O18" si="163">ROUND(L18*0.12,2)</f>
        <v>210301.91</v>
      </c>
      <c r="P18" s="7">
        <f t="shared" ref="P18" si="164">ROUND(L18*0.07,2)</f>
        <v>122676.12</v>
      </c>
      <c r="Q18" s="7">
        <f t="shared" ref="Q18" si="165">ROUND(L18*0.01,2)</f>
        <v>17525.16</v>
      </c>
      <c r="R18" s="7">
        <f t="shared" ref="R18" si="166">ROUND(L18*0.0075,2)</f>
        <v>13143.87</v>
      </c>
      <c r="S18" s="7">
        <f t="shared" ref="S18" si="167">ROUND(L18*0.0075,2)</f>
        <v>13143.87</v>
      </c>
      <c r="T18" s="7">
        <f>ROUND(L18*0.02,2)</f>
        <v>35050.32</v>
      </c>
      <c r="U18" s="7">
        <f t="shared" ref="U18" si="168">ROUND(M18*0,2)</f>
        <v>0</v>
      </c>
      <c r="V18" s="16">
        <f t="shared" ref="V18" si="169">E18/W18</f>
        <v>2091.1081786941595</v>
      </c>
      <c r="W18" s="8">
        <v>873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45934</v>
      </c>
      <c r="B19" s="7">
        <v>18271051.050000001</v>
      </c>
      <c r="C19" s="7">
        <v>16391398.970000003</v>
      </c>
      <c r="D19" s="7">
        <v>330939.82</v>
      </c>
      <c r="E19" s="7">
        <f t="shared" ref="E19" si="170">B19-C19-D19</f>
        <v>1548712.2599999981</v>
      </c>
      <c r="F19" s="7">
        <f>ROUND(E19*0.04,2)-0.01</f>
        <v>61948.479999999996</v>
      </c>
      <c r="G19" s="7">
        <f t="shared" ref="G19" si="171">ROUND(E19*0,2)</f>
        <v>0</v>
      </c>
      <c r="H19" s="7">
        <f t="shared" ref="H19" si="172">E19-F19-G19</f>
        <v>1486763.7799999982</v>
      </c>
      <c r="I19" s="7">
        <f t="shared" ref="I19" si="173">ROUND(H19*0,2)</f>
        <v>0</v>
      </c>
      <c r="J19" s="7">
        <f t="shared" ref="J19" si="174">ROUND((I19*0.58)+((I19*0.42)*0.1),2)</f>
        <v>0</v>
      </c>
      <c r="K19" s="7">
        <f t="shared" ref="K19" si="175">ROUND((I19*0.42)*0.9,2)</f>
        <v>0</v>
      </c>
      <c r="L19" s="18">
        <f t="shared" ref="L19" si="176">IF(J19+K19=I19,H19-I19,"ERROR")</f>
        <v>1486763.7799999982</v>
      </c>
      <c r="M19" s="7">
        <f t="shared" ref="M19" si="177">ROUND(L19*0.465,2)</f>
        <v>691345.16</v>
      </c>
      <c r="N19" s="7">
        <f>ROUND(L19*0.3,2)</f>
        <v>446029.13</v>
      </c>
      <c r="O19" s="7">
        <f t="shared" ref="O19" si="178">ROUND(L19*0.12,2)</f>
        <v>178411.65</v>
      </c>
      <c r="P19" s="7">
        <f t="shared" ref="P19" si="179">ROUND(L19*0.07,2)</f>
        <v>104073.46</v>
      </c>
      <c r="Q19" s="7">
        <f t="shared" ref="Q19" si="180">ROUND(L19*0.01,2)</f>
        <v>14867.64</v>
      </c>
      <c r="R19" s="7">
        <f t="shared" ref="R19" si="181">ROUND(L19*0.0075,2)</f>
        <v>11150.73</v>
      </c>
      <c r="S19" s="7">
        <f t="shared" ref="S19" si="182">ROUND(L19*0.0075,2)</f>
        <v>11150.73</v>
      </c>
      <c r="T19" s="7">
        <f>ROUND(L19*0.02,2)</f>
        <v>29735.279999999999</v>
      </c>
      <c r="U19" s="7">
        <f t="shared" ref="U19" si="183">ROUND(M19*0,2)</f>
        <v>0</v>
      </c>
      <c r="V19" s="16">
        <f t="shared" ref="V19" si="184">E19/W19</f>
        <v>1759.9002954545433</v>
      </c>
      <c r="W19" s="8">
        <v>880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45941</v>
      </c>
      <c r="B20" s="7">
        <v>18536867.210000001</v>
      </c>
      <c r="C20" s="7">
        <v>16618330.67</v>
      </c>
      <c r="D20" s="7">
        <v>323989.63</v>
      </c>
      <c r="E20" s="7">
        <f t="shared" ref="E20" si="185">B20-C20-D20</f>
        <v>1594546.9100000011</v>
      </c>
      <c r="F20" s="7">
        <f>ROUND(E20*0.04,2)+0.01</f>
        <v>63781.89</v>
      </c>
      <c r="G20" s="7">
        <f t="shared" ref="G20" si="186">ROUND(E20*0,2)</f>
        <v>0</v>
      </c>
      <c r="H20" s="7">
        <f t="shared" ref="H20" si="187">E20-F20-G20</f>
        <v>1530765.0200000012</v>
      </c>
      <c r="I20" s="7">
        <f t="shared" ref="I20" si="188">ROUND(H20*0,2)</f>
        <v>0</v>
      </c>
      <c r="J20" s="7">
        <f t="shared" ref="J20" si="189">ROUND((I20*0.58)+((I20*0.42)*0.1),2)</f>
        <v>0</v>
      </c>
      <c r="K20" s="7">
        <f t="shared" ref="K20" si="190">ROUND((I20*0.42)*0.9,2)</f>
        <v>0</v>
      </c>
      <c r="L20" s="18">
        <f t="shared" ref="L20" si="191">IF(J20+K20=I20,H20-I20,"ERROR")</f>
        <v>1530765.0200000012</v>
      </c>
      <c r="M20" s="7">
        <f t="shared" ref="M20" si="192">ROUND(L20*0.465,2)</f>
        <v>711805.73</v>
      </c>
      <c r="N20" s="7">
        <f>ROUND(L20*0.3,2)</f>
        <v>459229.51</v>
      </c>
      <c r="O20" s="7">
        <f t="shared" ref="O20" si="193">ROUND(L20*0.12,2)</f>
        <v>183691.8</v>
      </c>
      <c r="P20" s="7">
        <f t="shared" ref="P20" si="194">ROUND(L20*0.07,2)</f>
        <v>107153.55</v>
      </c>
      <c r="Q20" s="7">
        <f t="shared" ref="Q20" si="195">ROUND(L20*0.01,2)</f>
        <v>15307.65</v>
      </c>
      <c r="R20" s="7">
        <f t="shared" ref="R20" si="196">ROUND(L20*0.0075,2)</f>
        <v>11480.74</v>
      </c>
      <c r="S20" s="7">
        <f t="shared" ref="S20" si="197">ROUND(L20*0.0075,2)</f>
        <v>11480.74</v>
      </c>
      <c r="T20" s="7">
        <f>ROUND(L20*0.02,2)</f>
        <v>30615.3</v>
      </c>
      <c r="U20" s="7">
        <f t="shared" ref="U20" si="198">ROUND(M20*0,2)</f>
        <v>0</v>
      </c>
      <c r="V20" s="16">
        <f t="shared" ref="V20" si="199">E20/W20</f>
        <v>1909.637017964073</v>
      </c>
      <c r="W20" s="8">
        <v>835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45948</v>
      </c>
      <c r="B21" s="7">
        <v>20031778.559999999</v>
      </c>
      <c r="C21" s="7">
        <v>17913269.370000001</v>
      </c>
      <c r="D21" s="7">
        <v>405662.04</v>
      </c>
      <c r="E21" s="7">
        <f t="shared" ref="E21" si="200">B21-C21-D21</f>
        <v>1712847.1499999976</v>
      </c>
      <c r="F21" s="7">
        <f>ROUND(E21*0.04,2)</f>
        <v>68513.89</v>
      </c>
      <c r="G21" s="7">
        <f t="shared" ref="G21" si="201">ROUND(E21*0,2)</f>
        <v>0</v>
      </c>
      <c r="H21" s="7">
        <f t="shared" ref="H21" si="202">E21-F21-G21</f>
        <v>1644333.2599999977</v>
      </c>
      <c r="I21" s="7">
        <f t="shared" ref="I21" si="203">ROUND(H21*0,2)</f>
        <v>0</v>
      </c>
      <c r="J21" s="7">
        <f t="shared" ref="J21" si="204">ROUND((I21*0.58)+((I21*0.42)*0.1),2)</f>
        <v>0</v>
      </c>
      <c r="K21" s="7">
        <f t="shared" ref="K21" si="205">ROUND((I21*0.42)*0.9,2)</f>
        <v>0</v>
      </c>
      <c r="L21" s="18">
        <f t="shared" ref="L21" si="206">IF(J21+K21=I21,H21-I21,"ERROR")</f>
        <v>1644333.2599999977</v>
      </c>
      <c r="M21" s="7">
        <f t="shared" ref="M21" si="207">ROUND(L21*0.465,2)</f>
        <v>764614.97</v>
      </c>
      <c r="N21" s="7">
        <f>ROUND(L21*0.3,2)</f>
        <v>493299.98</v>
      </c>
      <c r="O21" s="7">
        <f t="shared" ref="O21" si="208">ROUND(L21*0.12,2)</f>
        <v>197319.99</v>
      </c>
      <c r="P21" s="7">
        <f t="shared" ref="P21" si="209">ROUND(L21*0.07,2)</f>
        <v>115103.33</v>
      </c>
      <c r="Q21" s="7">
        <f t="shared" ref="Q21" si="210">ROUND(L21*0.01,2)</f>
        <v>16443.330000000002</v>
      </c>
      <c r="R21" s="7">
        <f t="shared" ref="R21" si="211">ROUND(L21*0.0075,2)</f>
        <v>12332.5</v>
      </c>
      <c r="S21" s="7">
        <f t="shared" ref="S21" si="212">ROUND(L21*0.0075,2)</f>
        <v>12332.5</v>
      </c>
      <c r="T21" s="7">
        <f>ROUND(L21*0.02,2)-0.01</f>
        <v>32886.659999999996</v>
      </c>
      <c r="U21" s="7">
        <f t="shared" ref="U21" si="213">ROUND(M21*0,2)</f>
        <v>0</v>
      </c>
      <c r="V21" s="16">
        <f t="shared" ref="V21" si="214">E21/W21</f>
        <v>1984.7591541135546</v>
      </c>
      <c r="W21" s="8">
        <v>863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4.25" customHeight="1" x14ac:dyDescent="0.25">
      <c r="B22" s="9"/>
      <c r="V22" s="10"/>
    </row>
    <row r="23" spans="1:96" ht="15" customHeight="1" thickBot="1" x14ac:dyDescent="0.3">
      <c r="B23" s="11">
        <f t="shared" ref="B23:U23" si="215">SUM(B6:B22)</f>
        <v>311679427.25999993</v>
      </c>
      <c r="C23" s="11">
        <f t="shared" si="215"/>
        <v>279516616.49000001</v>
      </c>
      <c r="D23" s="11">
        <f t="shared" si="215"/>
        <v>5513603.8099999996</v>
      </c>
      <c r="E23" s="11">
        <f t="shared" si="215"/>
        <v>26649206.960000005</v>
      </c>
      <c r="F23" s="11">
        <f t="shared" si="215"/>
        <v>1065968.2899999998</v>
      </c>
      <c r="G23" s="11">
        <f t="shared" si="215"/>
        <v>0</v>
      </c>
      <c r="H23" s="11">
        <f t="shared" si="215"/>
        <v>25583238.669999998</v>
      </c>
      <c r="I23" s="11">
        <f t="shared" si="215"/>
        <v>0</v>
      </c>
      <c r="J23" s="11">
        <f t="shared" si="215"/>
        <v>0</v>
      </c>
      <c r="K23" s="11">
        <f t="shared" si="215"/>
        <v>0</v>
      </c>
      <c r="L23" s="11">
        <f t="shared" si="215"/>
        <v>25583238.669999998</v>
      </c>
      <c r="M23" s="11">
        <f t="shared" si="215"/>
        <v>11896205.990000002</v>
      </c>
      <c r="N23" s="11">
        <f t="shared" si="215"/>
        <v>7674971.5399999991</v>
      </c>
      <c r="O23" s="11">
        <f t="shared" si="215"/>
        <v>3087959.4299999997</v>
      </c>
      <c r="P23" s="11">
        <f t="shared" si="215"/>
        <v>1776027.22</v>
      </c>
      <c r="Q23" s="11">
        <f t="shared" si="215"/>
        <v>255832.39</v>
      </c>
      <c r="R23" s="11">
        <f t="shared" si="215"/>
        <v>190288.66</v>
      </c>
      <c r="S23" s="11">
        <f t="shared" si="215"/>
        <v>190288.66</v>
      </c>
      <c r="T23" s="11">
        <f t="shared" si="215"/>
        <v>511664.78</v>
      </c>
      <c r="U23" s="11">
        <f t="shared" si="215"/>
        <v>0</v>
      </c>
      <c r="V23" s="12">
        <f>AVERAGE(V6:V22)</f>
        <v>1804.5831811529592</v>
      </c>
      <c r="W23" s="13">
        <f>AVERAGE(W6:W22)</f>
        <v>924.75</v>
      </c>
    </row>
    <row r="24" spans="1:96" ht="15" customHeight="1" thickTop="1" x14ac:dyDescent="0.25"/>
    <row r="25" spans="1:96" ht="15" customHeight="1" x14ac:dyDescent="0.25">
      <c r="A25" s="1" t="s">
        <v>32</v>
      </c>
    </row>
    <row r="26" spans="1:96" ht="15" customHeight="1" x14ac:dyDescent="0.25">
      <c r="A26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&amp;CWHEELING ISLAND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R26"/>
  <sheetViews>
    <sheetView workbookViewId="0">
      <pane ySplit="3" topLeftCell="A4" activePane="bottomLeft" state="frozen"/>
      <selection pane="bottomLeft" activeCell="A23" sqref="A23"/>
    </sheetView>
  </sheetViews>
  <sheetFormatPr defaultRowHeight="15" customHeight="1" x14ac:dyDescent="0.25"/>
  <cols>
    <col min="1" max="1" width="11.7109375" customWidth="1"/>
    <col min="2" max="2" width="16.28515625" bestFit="1" customWidth="1"/>
    <col min="3" max="3" width="16.28515625" customWidth="1"/>
    <col min="4" max="4" width="14.28515625" bestFit="1" customWidth="1"/>
    <col min="5" max="5" width="15.28515625" bestFit="1" customWidth="1"/>
    <col min="6" max="6" width="13.7109375" bestFit="1" customWidth="1"/>
    <col min="7" max="7" width="12.7109375" customWidth="1"/>
    <col min="8" max="8" width="15.140625" customWidth="1"/>
    <col min="9" max="9" width="12" hidden="1" customWidth="1"/>
    <col min="10" max="10" width="12.42578125" bestFit="1" customWidth="1"/>
    <col min="11" max="11" width="12.7109375" customWidth="1"/>
    <col min="12" max="12" width="15.28515625" customWidth="1"/>
    <col min="13" max="14" width="14.7109375" bestFit="1" customWidth="1"/>
    <col min="15" max="15" width="14.28515625" bestFit="1" customWidth="1"/>
    <col min="16" max="16" width="13.85546875" customWidth="1"/>
    <col min="17" max="17" width="14.140625" customWidth="1"/>
    <col min="18" max="20" width="12.5703125" bestFit="1" customWidth="1"/>
    <col min="21" max="21" width="13.7109375" customWidth="1"/>
    <col min="22" max="22" width="10.5703125" bestFit="1" customWidth="1"/>
    <col min="23" max="23" width="13.5703125" bestFit="1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24</v>
      </c>
      <c r="U1" s="2" t="s">
        <v>25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604566307.93000019</v>
      </c>
      <c r="C2" s="4">
        <v>546390964.35000014</v>
      </c>
      <c r="D2" s="4">
        <v>7186839.3600000003</v>
      </c>
      <c r="E2" s="4">
        <v>50988504.219999991</v>
      </c>
      <c r="F2" s="4">
        <v>1791316.4999999998</v>
      </c>
      <c r="G2" s="4">
        <v>248223.74000000002</v>
      </c>
      <c r="H2" s="4">
        <v>48948963.979999989</v>
      </c>
      <c r="I2" s="4">
        <v>461286.24</v>
      </c>
      <c r="J2" s="4">
        <v>286920.04000000004</v>
      </c>
      <c r="K2" s="4">
        <v>174366.2</v>
      </c>
      <c r="L2" s="4">
        <v>48487677.739999987</v>
      </c>
      <c r="M2" s="4">
        <v>22359949.229999993</v>
      </c>
      <c r="N2" s="4">
        <v>13300830.549999999</v>
      </c>
      <c r="O2" s="4">
        <v>7795810.6300000018</v>
      </c>
      <c r="P2" s="4">
        <v>2942631.1800000006</v>
      </c>
      <c r="Q2" s="4">
        <v>464118.89</v>
      </c>
      <c r="R2" s="4">
        <v>327291.8600000001</v>
      </c>
      <c r="S2" s="4">
        <v>327291.8600000001</v>
      </c>
      <c r="T2" s="4">
        <v>715068.2699999999</v>
      </c>
      <c r="U2" s="4">
        <v>254685.27000000002</v>
      </c>
      <c r="V2" s="4">
        <v>1508.01</v>
      </c>
      <c r="W2" s="8">
        <v>638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9368279.7699999996</v>
      </c>
      <c r="C6" s="7">
        <v>8415336.0600000005</v>
      </c>
      <c r="D6" s="7">
        <v>97050.299999999988</v>
      </c>
      <c r="E6" s="7">
        <f t="shared" ref="E6" si="0">B6-C6-D6</f>
        <v>855893.40999999898</v>
      </c>
      <c r="F6" s="7">
        <f>ROUND(E6*0.04,2)-0.01</f>
        <v>34235.729999999996</v>
      </c>
      <c r="G6" s="7">
        <f t="shared" ref="G6" si="1">ROUND(E6*0,2)</f>
        <v>0</v>
      </c>
      <c r="H6" s="7">
        <f t="shared" ref="H6" si="2">E6-F6-G6</f>
        <v>821657.679999999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821657.679999999</v>
      </c>
      <c r="M6" s="7">
        <f t="shared" ref="M6" si="7">ROUND(L6*0.465,2)</f>
        <v>382070.82</v>
      </c>
      <c r="N6" s="7">
        <f>ROUND(L6*0.3,2)</f>
        <v>246497.3</v>
      </c>
      <c r="O6" s="7">
        <f t="shared" ref="O6" si="8">ROUND(L6*0.1285,2)</f>
        <v>105583.01</v>
      </c>
      <c r="P6" s="7">
        <f t="shared" ref="P6" si="9">ROUND((L6*0.07)*0.9,2)</f>
        <v>51764.43</v>
      </c>
      <c r="Q6" s="7">
        <f t="shared" ref="Q6" si="10">ROUND(L6*0.01,2)</f>
        <v>8216.58</v>
      </c>
      <c r="R6" s="7">
        <f t="shared" ref="R6" si="11">ROUND((L6*0.0075)*0.9,2)</f>
        <v>5546.19</v>
      </c>
      <c r="S6" s="7">
        <f t="shared" ref="S6" si="12">ROUND((L6*0.0075)*0.9,2)</f>
        <v>5546.19</v>
      </c>
      <c r="T6" s="7">
        <f>ROUND(L6*0.02,2)+0.01</f>
        <v>16433.16</v>
      </c>
      <c r="U6" s="7">
        <f t="shared" ref="U6" si="13">ROUND(M6*0,2)</f>
        <v>0</v>
      </c>
      <c r="V6" s="16">
        <f t="shared" ref="V6" si="14">E6/W6</f>
        <v>1312.7199539877286</v>
      </c>
      <c r="W6" s="8">
        <v>652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12065209.699999999</v>
      </c>
      <c r="C7" s="7">
        <v>10812675.52</v>
      </c>
      <c r="D7" s="7">
        <v>127416.95</v>
      </c>
      <c r="E7" s="7">
        <f t="shared" ref="E7" si="15">B7-C7-D7</f>
        <v>1125117.2299999997</v>
      </c>
      <c r="F7" s="7">
        <f>ROUND(E7*0.04,2)</f>
        <v>45004.69</v>
      </c>
      <c r="G7" s="7">
        <f t="shared" ref="G7" si="16">ROUND(E7*0,2)</f>
        <v>0</v>
      </c>
      <c r="H7" s="7">
        <f t="shared" ref="H7" si="17">E7-F7-G7</f>
        <v>1080112.5399999998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1080112.5399999998</v>
      </c>
      <c r="M7" s="7">
        <f t="shared" ref="M7" si="22">ROUND(L7*0.465,2)</f>
        <v>502252.33</v>
      </c>
      <c r="N7" s="7">
        <f>ROUND(L7*0.3,2)+0.01</f>
        <v>324033.77</v>
      </c>
      <c r="O7" s="7">
        <v>133530.97</v>
      </c>
      <c r="P7" s="7">
        <v>72381.73</v>
      </c>
      <c r="Q7" s="7">
        <v>10801.12</v>
      </c>
      <c r="R7" s="7">
        <v>7755.19</v>
      </c>
      <c r="S7" s="7">
        <v>7755.19</v>
      </c>
      <c r="T7" s="7">
        <f>ROUND(L7*0.02,2)-0.01</f>
        <v>21602.240000000002</v>
      </c>
      <c r="U7" s="7">
        <f t="shared" ref="U7" si="23">ROUND(M7*0,2)</f>
        <v>0</v>
      </c>
      <c r="V7" s="16">
        <f t="shared" ref="V7" si="24">E7/W7</f>
        <v>1728.2906758832562</v>
      </c>
      <c r="W7" s="8">
        <v>651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12626812.34</v>
      </c>
      <c r="C8" s="7">
        <v>11306736.030000001</v>
      </c>
      <c r="D8" s="7">
        <v>136232.76999999999</v>
      </c>
      <c r="E8" s="7">
        <f t="shared" ref="E8" si="25">B8-C8-D8</f>
        <v>1183843.5399999986</v>
      </c>
      <c r="F8" s="7">
        <f>ROUND(E8*0.04,2)</f>
        <v>47353.74</v>
      </c>
      <c r="G8" s="7">
        <f t="shared" ref="G8" si="26">ROUND(E8*0,2)</f>
        <v>0</v>
      </c>
      <c r="H8" s="7">
        <f t="shared" ref="H8" si="27">E8-F8-G8</f>
        <v>1136489.7999999986</v>
      </c>
      <c r="I8" s="7">
        <f t="shared" ref="I8" si="28">ROUND(H8*0,2)</f>
        <v>0</v>
      </c>
      <c r="J8" s="7">
        <f t="shared" ref="J8" si="29">ROUND((I8*0.58)+((I8*0.42)*0.1),2)</f>
        <v>0</v>
      </c>
      <c r="K8" s="7">
        <f t="shared" ref="K8" si="30">ROUND((I8*0.42)*0.9,2)</f>
        <v>0</v>
      </c>
      <c r="L8" s="18">
        <f t="shared" ref="L8" si="31">IF(J8+K8=I8,H8-I8,"ERROR")</f>
        <v>1136489.7999999986</v>
      </c>
      <c r="M8" s="7">
        <f t="shared" ref="M8" si="32">ROUND(L8*0.465,2)</f>
        <v>528467.76</v>
      </c>
      <c r="N8" s="7">
        <f>ROUND(L8*0.3,2)-0.01</f>
        <v>340946.93</v>
      </c>
      <c r="O8" s="7">
        <f t="shared" ref="O8:O13" si="33">ROUND(L8*0.12,2)</f>
        <v>136378.78</v>
      </c>
      <c r="P8" s="7">
        <f t="shared" ref="P8:P13" si="34">ROUND(L8*0.07,2)</f>
        <v>79554.289999999994</v>
      </c>
      <c r="Q8" s="7">
        <f t="shared" ref="Q8:Q13" si="35">ROUND(L8*0.01,2)</f>
        <v>11364.9</v>
      </c>
      <c r="R8" s="7">
        <f t="shared" ref="R8:R13" si="36">ROUND(L8*0.0075,2)</f>
        <v>8523.67</v>
      </c>
      <c r="S8" s="7">
        <f t="shared" ref="S8:S13" si="37">ROUND(L8*0.0075,2)</f>
        <v>8523.67</v>
      </c>
      <c r="T8" s="7">
        <f>ROUND(L8*0.02,2)</f>
        <v>22729.8</v>
      </c>
      <c r="U8" s="7">
        <f t="shared" ref="U8:U13" si="38">ROUND(M8*0,2)</f>
        <v>0</v>
      </c>
      <c r="V8" s="16">
        <f t="shared" ref="V8" si="39">E8/W8</f>
        <v>1855.5541379310323</v>
      </c>
      <c r="W8" s="8">
        <v>638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13062062.029999999</v>
      </c>
      <c r="C9" s="7">
        <v>11961628.74</v>
      </c>
      <c r="D9" s="7">
        <v>148669.04</v>
      </c>
      <c r="E9" s="7">
        <f t="shared" ref="E9" si="40">B9-C9-D9</f>
        <v>951764.24999999907</v>
      </c>
      <c r="F9" s="7">
        <f>ROUND(E9*0.04,2)-0.01</f>
        <v>38070.559999999998</v>
      </c>
      <c r="G9" s="7">
        <f t="shared" ref="G9" si="41">ROUND(E9*0,2)</f>
        <v>0</v>
      </c>
      <c r="H9" s="7">
        <f t="shared" ref="H9" si="42">E9-F9-G9</f>
        <v>913693.68999999901</v>
      </c>
      <c r="I9" s="7">
        <f t="shared" ref="I9" si="43">ROUND(H9*0,2)</f>
        <v>0</v>
      </c>
      <c r="J9" s="7">
        <f t="shared" ref="J9" si="44">ROUND((I9*0.58)+((I9*0.42)*0.1),2)</f>
        <v>0</v>
      </c>
      <c r="K9" s="7">
        <f t="shared" ref="K9" si="45">ROUND((I9*0.42)*0.9,2)</f>
        <v>0</v>
      </c>
      <c r="L9" s="18">
        <f t="shared" ref="L9" si="46">IF(J9+K9=I9,H9-I9,"ERROR")</f>
        <v>913693.68999999901</v>
      </c>
      <c r="M9" s="7">
        <f t="shared" ref="M9" si="47">ROUND(L9*0.465,2)</f>
        <v>424867.57</v>
      </c>
      <c r="N9" s="7">
        <f>ROUND(L9*0.3,2)-0.01</f>
        <v>274108.09999999998</v>
      </c>
      <c r="O9" s="7">
        <f t="shared" si="33"/>
        <v>109643.24</v>
      </c>
      <c r="P9" s="7">
        <f t="shared" si="34"/>
        <v>63958.559999999998</v>
      </c>
      <c r="Q9" s="7">
        <f t="shared" si="35"/>
        <v>9136.94</v>
      </c>
      <c r="R9" s="7">
        <f t="shared" si="36"/>
        <v>6852.7</v>
      </c>
      <c r="S9" s="7">
        <f t="shared" si="37"/>
        <v>6852.7</v>
      </c>
      <c r="T9" s="7">
        <f>ROUND(L9*0.02,2)+0.01</f>
        <v>18273.879999999997</v>
      </c>
      <c r="U9" s="7">
        <f t="shared" si="38"/>
        <v>0</v>
      </c>
      <c r="V9" s="16">
        <f t="shared" ref="V9" si="48">E9/W9</f>
        <v>1464.2526923076909</v>
      </c>
      <c r="W9" s="8">
        <v>650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11904789.690000001</v>
      </c>
      <c r="C10" s="7">
        <v>10813012.43</v>
      </c>
      <c r="D10" s="7">
        <v>149743.97</v>
      </c>
      <c r="E10" s="7">
        <f t="shared" ref="E10" si="49">B10-C10-D10</f>
        <v>942033.29000000167</v>
      </c>
      <c r="F10" s="7">
        <f>ROUND(E10*0.04,2)+0.01</f>
        <v>37681.340000000004</v>
      </c>
      <c r="G10" s="7">
        <f t="shared" ref="G10" si="50">ROUND(E10*0,2)</f>
        <v>0</v>
      </c>
      <c r="H10" s="7">
        <f t="shared" ref="H10" si="51">E10-F10-G10</f>
        <v>904351.9500000017</v>
      </c>
      <c r="I10" s="7">
        <f t="shared" ref="I10" si="52">ROUND(H10*0,2)</f>
        <v>0</v>
      </c>
      <c r="J10" s="7">
        <f t="shared" ref="J10" si="53">ROUND((I10*0.58)+((I10*0.42)*0.1),2)</f>
        <v>0</v>
      </c>
      <c r="K10" s="7">
        <f t="shared" ref="K10" si="54">ROUND((I10*0.42)*0.9,2)</f>
        <v>0</v>
      </c>
      <c r="L10" s="18">
        <f t="shared" ref="L10" si="55">IF(J10+K10=I10,H10-I10,"ERROR")</f>
        <v>904351.9500000017</v>
      </c>
      <c r="M10" s="7">
        <f t="shared" ref="M10" si="56">ROUND(L10*0.465,2)</f>
        <v>420523.66</v>
      </c>
      <c r="N10" s="7">
        <f>ROUND(L10*0.3,2)-0.01</f>
        <v>271305.58</v>
      </c>
      <c r="O10" s="7">
        <f t="shared" si="33"/>
        <v>108522.23</v>
      </c>
      <c r="P10" s="7">
        <f t="shared" si="34"/>
        <v>63304.639999999999</v>
      </c>
      <c r="Q10" s="7">
        <f t="shared" si="35"/>
        <v>9043.52</v>
      </c>
      <c r="R10" s="7">
        <f t="shared" si="36"/>
        <v>6782.64</v>
      </c>
      <c r="S10" s="7">
        <f t="shared" si="37"/>
        <v>6782.64</v>
      </c>
      <c r="T10" s="7">
        <f>ROUND(L10*0.02,2)</f>
        <v>18087.04</v>
      </c>
      <c r="U10" s="7">
        <f t="shared" si="38"/>
        <v>0</v>
      </c>
      <c r="V10" s="16">
        <f t="shared" ref="V10" si="57">E10/W10</f>
        <v>1504.8455111821113</v>
      </c>
      <c r="W10" s="8">
        <v>626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11658028.539999999</v>
      </c>
      <c r="C11" s="7">
        <v>10443000.84</v>
      </c>
      <c r="D11" s="7">
        <v>150800</v>
      </c>
      <c r="E11" s="7">
        <f t="shared" ref="E11" si="58">B11-C11-D11</f>
        <v>1064227.6999999993</v>
      </c>
      <c r="F11" s="7">
        <f>ROUND(E11*0.04,2)-0.01</f>
        <v>42569.1</v>
      </c>
      <c r="G11" s="7">
        <f t="shared" ref="G11" si="59">ROUND(E11*0,2)</f>
        <v>0</v>
      </c>
      <c r="H11" s="7">
        <f t="shared" ref="H11" si="60">E11-F11-G11</f>
        <v>1021658.5999999993</v>
      </c>
      <c r="I11" s="7">
        <f t="shared" ref="I11" si="61">ROUND(H11*0,2)</f>
        <v>0</v>
      </c>
      <c r="J11" s="7">
        <f t="shared" ref="J11" si="62">ROUND((I11*0.58)+((I11*0.42)*0.1),2)</f>
        <v>0</v>
      </c>
      <c r="K11" s="7">
        <f t="shared" ref="K11" si="63">ROUND((I11*0.42)*0.9,2)</f>
        <v>0</v>
      </c>
      <c r="L11" s="18">
        <f t="shared" ref="L11" si="64">IF(J11+K11=I11,H11-I11,"ERROR")</f>
        <v>1021658.5999999993</v>
      </c>
      <c r="M11" s="7">
        <f t="shared" ref="M11" si="65">ROUND(L11*0.465,2)</f>
        <v>475071.25</v>
      </c>
      <c r="N11" s="7">
        <f>ROUND(L11*0.3,2)-0.01</f>
        <v>306497.57</v>
      </c>
      <c r="O11" s="7">
        <f t="shared" si="33"/>
        <v>122599.03</v>
      </c>
      <c r="P11" s="7">
        <f t="shared" si="34"/>
        <v>71516.100000000006</v>
      </c>
      <c r="Q11" s="7">
        <f t="shared" si="35"/>
        <v>10216.59</v>
      </c>
      <c r="R11" s="7">
        <f t="shared" si="36"/>
        <v>7662.44</v>
      </c>
      <c r="S11" s="7">
        <f t="shared" si="37"/>
        <v>7662.44</v>
      </c>
      <c r="T11" s="7">
        <f>ROUND(L11*0.02,2)+0.01</f>
        <v>20433.179999999997</v>
      </c>
      <c r="U11" s="7">
        <f t="shared" si="38"/>
        <v>0</v>
      </c>
      <c r="V11" s="16">
        <f t="shared" ref="V11" si="66">E11/W11</f>
        <v>1662.8557812499989</v>
      </c>
      <c r="W11" s="8">
        <v>640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11398640.780000001</v>
      </c>
      <c r="C12" s="7">
        <v>10297431.280000001</v>
      </c>
      <c r="D12" s="7">
        <v>146448.63</v>
      </c>
      <c r="E12" s="7">
        <f t="shared" ref="E12" si="67">B12-C12-D12</f>
        <v>954760.87</v>
      </c>
      <c r="F12" s="7">
        <f>ROUND(E12*0.04,2)+0.01</f>
        <v>38190.44</v>
      </c>
      <c r="G12" s="7">
        <f t="shared" ref="G12" si="68">ROUND(E12*0,2)</f>
        <v>0</v>
      </c>
      <c r="H12" s="7">
        <f t="shared" ref="H12" si="69">E12-F12-G12</f>
        <v>916570.42999999993</v>
      </c>
      <c r="I12" s="7">
        <f t="shared" ref="I12" si="70">ROUND(H12*0,2)</f>
        <v>0</v>
      </c>
      <c r="J12" s="7">
        <f t="shared" ref="J12" si="71">ROUND((I12*0.58)+((I12*0.42)*0.1),2)</f>
        <v>0</v>
      </c>
      <c r="K12" s="7">
        <f t="shared" ref="K12" si="72">ROUND((I12*0.42)*0.9,2)</f>
        <v>0</v>
      </c>
      <c r="L12" s="18">
        <f t="shared" ref="L12" si="73">IF(J12+K12=I12,H12-I12,"ERROR")</f>
        <v>916570.42999999993</v>
      </c>
      <c r="M12" s="7">
        <f t="shared" ref="M12" si="74">ROUND(L12*0.465,2)</f>
        <v>426205.25</v>
      </c>
      <c r="N12" s="7">
        <f>ROUND(L12*0.3,2)+0.01</f>
        <v>274971.14</v>
      </c>
      <c r="O12" s="7">
        <f t="shared" si="33"/>
        <v>109988.45</v>
      </c>
      <c r="P12" s="7">
        <f t="shared" si="34"/>
        <v>64159.93</v>
      </c>
      <c r="Q12" s="7">
        <f t="shared" si="35"/>
        <v>9165.7000000000007</v>
      </c>
      <c r="R12" s="7">
        <f t="shared" si="36"/>
        <v>6874.28</v>
      </c>
      <c r="S12" s="7">
        <f t="shared" si="37"/>
        <v>6874.28</v>
      </c>
      <c r="T12" s="7">
        <f>ROUND(L12*0.02,2)-0.01</f>
        <v>18331.400000000001</v>
      </c>
      <c r="U12" s="7">
        <f t="shared" si="38"/>
        <v>0</v>
      </c>
      <c r="V12" s="16">
        <f t="shared" ref="V12" si="75">E12/W12</f>
        <v>1491.813859375</v>
      </c>
      <c r="W12" s="8">
        <v>640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11056777.77</v>
      </c>
      <c r="C13" s="7">
        <v>9974586.3200000003</v>
      </c>
      <c r="D13" s="7">
        <v>147701.68</v>
      </c>
      <c r="E13" s="7">
        <f t="shared" ref="E13" si="76">B13-C13-D13</f>
        <v>934489.76999999932</v>
      </c>
      <c r="F13" s="7">
        <f>ROUND(E13*0.04,2)-0.01</f>
        <v>37379.579999999994</v>
      </c>
      <c r="G13" s="7">
        <f t="shared" ref="G13" si="77">ROUND(E13*0,2)</f>
        <v>0</v>
      </c>
      <c r="H13" s="7">
        <f t="shared" ref="H13" si="78">E13-F13-G13</f>
        <v>897110.18999999936</v>
      </c>
      <c r="I13" s="7">
        <f t="shared" ref="I13" si="79">ROUND(H13*0,2)</f>
        <v>0</v>
      </c>
      <c r="J13" s="7">
        <f t="shared" ref="J13" si="80">ROUND((I13*0.58)+((I13*0.42)*0.1),2)</f>
        <v>0</v>
      </c>
      <c r="K13" s="7">
        <f t="shared" ref="K13" si="81">ROUND((I13*0.42)*0.9,2)</f>
        <v>0</v>
      </c>
      <c r="L13" s="18">
        <f t="shared" ref="L13" si="82">IF(J13+K13=I13,H13-I13,"ERROR")</f>
        <v>897110.18999999936</v>
      </c>
      <c r="M13" s="7">
        <f t="shared" ref="M13" si="83">ROUND(L13*0.465,2)</f>
        <v>417156.24</v>
      </c>
      <c r="N13" s="7">
        <f>ROUND(L13*0.3,2)</f>
        <v>269133.06</v>
      </c>
      <c r="O13" s="7">
        <f t="shared" si="33"/>
        <v>107653.22</v>
      </c>
      <c r="P13" s="7">
        <f t="shared" si="34"/>
        <v>62797.71</v>
      </c>
      <c r="Q13" s="7">
        <f t="shared" si="35"/>
        <v>8971.1</v>
      </c>
      <c r="R13" s="7">
        <f t="shared" si="36"/>
        <v>6728.33</v>
      </c>
      <c r="S13" s="7">
        <f t="shared" si="37"/>
        <v>6728.33</v>
      </c>
      <c r="T13" s="7">
        <f>ROUND(L13*0.02,2)</f>
        <v>17942.2</v>
      </c>
      <c r="U13" s="7">
        <f t="shared" si="38"/>
        <v>0</v>
      </c>
      <c r="V13" s="16">
        <f t="shared" ref="V13" si="84">E13/W13</f>
        <v>1467.016907378335</v>
      </c>
      <c r="W13" s="8">
        <v>637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45899</v>
      </c>
      <c r="B14" s="7">
        <v>12685509.26</v>
      </c>
      <c r="C14" s="7">
        <v>11462877.27</v>
      </c>
      <c r="D14" s="7">
        <v>164301.35999999999</v>
      </c>
      <c r="E14" s="7">
        <f t="shared" ref="E14" si="85">B14-C14-D14</f>
        <v>1058330.6300000004</v>
      </c>
      <c r="F14" s="7">
        <f>ROUND(E14*0.04,2)-0.01</f>
        <v>42333.22</v>
      </c>
      <c r="G14" s="7">
        <f t="shared" ref="G14" si="86">ROUND(E14*0,2)</f>
        <v>0</v>
      </c>
      <c r="H14" s="7">
        <f t="shared" ref="H14" si="87">E14-F14-G14</f>
        <v>1015997.4100000004</v>
      </c>
      <c r="I14" s="7">
        <f t="shared" ref="I14" si="88">ROUND(H14*0,2)</f>
        <v>0</v>
      </c>
      <c r="J14" s="7">
        <f t="shared" ref="J14" si="89">ROUND((I14*0.58)+((I14*0.42)*0.1),2)</f>
        <v>0</v>
      </c>
      <c r="K14" s="7">
        <f t="shared" ref="K14" si="90">ROUND((I14*0.42)*0.9,2)</f>
        <v>0</v>
      </c>
      <c r="L14" s="18">
        <f t="shared" ref="L14" si="91">IF(J14+K14=I14,H14-I14,"ERROR")</f>
        <v>1015997.4100000004</v>
      </c>
      <c r="M14" s="7">
        <f t="shared" ref="M14" si="92">ROUND(L14*0.465,2)</f>
        <v>472438.8</v>
      </c>
      <c r="N14" s="7">
        <f>ROUND(L14*0.3,2)+0.01</f>
        <v>304799.23</v>
      </c>
      <c r="O14" s="7">
        <f t="shared" ref="O14" si="93">ROUND(L14*0.12,2)</f>
        <v>121919.69</v>
      </c>
      <c r="P14" s="7">
        <f t="shared" ref="P14" si="94">ROUND(L14*0.07,2)</f>
        <v>71119.820000000007</v>
      </c>
      <c r="Q14" s="7">
        <f t="shared" ref="Q14" si="95">ROUND(L14*0.01,2)</f>
        <v>10159.969999999999</v>
      </c>
      <c r="R14" s="7">
        <f t="shared" ref="R14" si="96">ROUND(L14*0.0075,2)</f>
        <v>7619.98</v>
      </c>
      <c r="S14" s="7">
        <f t="shared" ref="S14" si="97">ROUND(L14*0.0075,2)</f>
        <v>7619.98</v>
      </c>
      <c r="T14" s="7">
        <f>ROUND(L14*0.02,2)-0.01</f>
        <v>20319.940000000002</v>
      </c>
      <c r="U14" s="7">
        <f t="shared" ref="U14" si="98">ROUND(M14*0,2)</f>
        <v>0</v>
      </c>
      <c r="V14" s="16">
        <f t="shared" ref="V14" si="99">E14/W14</f>
        <v>1661.4295604395611</v>
      </c>
      <c r="W14" s="8">
        <v>637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45906</v>
      </c>
      <c r="B15" s="7">
        <v>11776916.819999998</v>
      </c>
      <c r="C15" s="7">
        <v>10525001.559999999</v>
      </c>
      <c r="D15" s="7">
        <v>168740.91</v>
      </c>
      <c r="E15" s="7">
        <f t="shared" ref="E15" si="100">B15-C15-D15</f>
        <v>1083174.3499999999</v>
      </c>
      <c r="F15" s="7">
        <f>ROUND(E15*0.04,2)</f>
        <v>43326.97</v>
      </c>
      <c r="G15" s="7">
        <f t="shared" ref="G15" si="101">ROUND(E15*0,2)</f>
        <v>0</v>
      </c>
      <c r="H15" s="7">
        <f t="shared" ref="H15" si="102">E15-F15-G15</f>
        <v>1039847.3799999999</v>
      </c>
      <c r="I15" s="7">
        <f t="shared" ref="I15" si="103">ROUND(H15*0,2)</f>
        <v>0</v>
      </c>
      <c r="J15" s="7">
        <f t="shared" ref="J15" si="104">ROUND((I15*0.58)+((I15*0.42)*0.1),2)</f>
        <v>0</v>
      </c>
      <c r="K15" s="7">
        <f t="shared" ref="K15" si="105">ROUND((I15*0.42)*0.9,2)</f>
        <v>0</v>
      </c>
      <c r="L15" s="18">
        <f t="shared" ref="L15" si="106">IF(J15+K15=I15,H15-I15,"ERROR")</f>
        <v>1039847.3799999999</v>
      </c>
      <c r="M15" s="7">
        <f t="shared" ref="M15" si="107">ROUND(L15*0.465,2)</f>
        <v>483529.03</v>
      </c>
      <c r="N15" s="7">
        <f>ROUND(L15*0.3,2)</f>
        <v>311954.21000000002</v>
      </c>
      <c r="O15" s="7">
        <f t="shared" ref="O15" si="108">ROUND(L15*0.12,2)</f>
        <v>124781.69</v>
      </c>
      <c r="P15" s="7">
        <f t="shared" ref="P15" si="109">ROUND(L15*0.07,2)</f>
        <v>72789.320000000007</v>
      </c>
      <c r="Q15" s="7">
        <f t="shared" ref="Q15" si="110">ROUND(L15*0.01,2)</f>
        <v>10398.469999999999</v>
      </c>
      <c r="R15" s="7">
        <f t="shared" ref="R15" si="111">ROUND(L15*0.0075,2)</f>
        <v>7798.86</v>
      </c>
      <c r="S15" s="7">
        <f t="shared" ref="S15" si="112">ROUND(L15*0.0075,2)</f>
        <v>7798.86</v>
      </c>
      <c r="T15" s="7">
        <f>ROUND(L15*0.02,2)-0.01</f>
        <v>20796.940000000002</v>
      </c>
      <c r="U15" s="7">
        <f t="shared" ref="U15" si="113">ROUND(M15*0,2)</f>
        <v>0</v>
      </c>
      <c r="V15" s="16">
        <f t="shared" ref="V15" si="114">E15/W15</f>
        <v>1695.1085289514865</v>
      </c>
      <c r="W15" s="8">
        <v>639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45913</v>
      </c>
      <c r="B16" s="7">
        <v>10851039.020000001</v>
      </c>
      <c r="C16" s="7">
        <v>9727906.3599999994</v>
      </c>
      <c r="D16" s="7">
        <v>154097.28999999998</v>
      </c>
      <c r="E16" s="7">
        <f t="shared" ref="E16" si="115">B16-C16-D16</f>
        <v>969035.37000000197</v>
      </c>
      <c r="F16" s="7">
        <f>ROUND(E16*0.04,2)+0.01</f>
        <v>38761.420000000006</v>
      </c>
      <c r="G16" s="7">
        <f t="shared" ref="G16" si="116">ROUND(E16*0,2)</f>
        <v>0</v>
      </c>
      <c r="H16" s="7">
        <f t="shared" ref="H16" si="117">E16-F16-G16</f>
        <v>930273.95000000193</v>
      </c>
      <c r="I16" s="7">
        <f t="shared" ref="I16" si="118">ROUND(H16*0,2)</f>
        <v>0</v>
      </c>
      <c r="J16" s="7">
        <f t="shared" ref="J16" si="119">ROUND((I16*0.58)+((I16*0.42)*0.1),2)</f>
        <v>0</v>
      </c>
      <c r="K16" s="7">
        <f t="shared" ref="K16" si="120">ROUND((I16*0.42)*0.9,2)</f>
        <v>0</v>
      </c>
      <c r="L16" s="18">
        <f t="shared" ref="L16" si="121">IF(J16+K16=I16,H16-I16,"ERROR")</f>
        <v>930273.95000000193</v>
      </c>
      <c r="M16" s="7">
        <f t="shared" ref="M16" si="122">ROUND(L16*0.465,2)</f>
        <v>432577.39</v>
      </c>
      <c r="N16" s="7">
        <f>ROUND(L16*0.3,2)</f>
        <v>279082.19</v>
      </c>
      <c r="O16" s="7">
        <f t="shared" ref="O16" si="123">ROUND(L16*0.12,2)</f>
        <v>111632.87</v>
      </c>
      <c r="P16" s="7">
        <f t="shared" ref="P16" si="124">ROUND(L16*0.07,2)</f>
        <v>65119.18</v>
      </c>
      <c r="Q16" s="7">
        <f t="shared" ref="Q16" si="125">ROUND(L16*0.01,2)</f>
        <v>9302.74</v>
      </c>
      <c r="R16" s="7">
        <f t="shared" ref="R16" si="126">ROUND(L16*0.0075,2)</f>
        <v>6977.05</v>
      </c>
      <c r="S16" s="7">
        <f t="shared" ref="S16" si="127">ROUND(L16*0.0075,2)</f>
        <v>6977.05</v>
      </c>
      <c r="T16" s="7">
        <f>ROUND(L16*0.02,2)</f>
        <v>18605.48</v>
      </c>
      <c r="U16" s="7">
        <f t="shared" ref="U16" si="128">ROUND(M16*0,2)</f>
        <v>0</v>
      </c>
      <c r="V16" s="16">
        <f t="shared" ref="V16" si="129">E16/W16</f>
        <v>1523.6405188679275</v>
      </c>
      <c r="W16" s="8">
        <v>636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45920</v>
      </c>
      <c r="B17" s="7">
        <v>11328813.259999998</v>
      </c>
      <c r="C17" s="7">
        <v>10236818.16</v>
      </c>
      <c r="D17" s="7">
        <v>155744.66999999998</v>
      </c>
      <c r="E17" s="7">
        <f t="shared" ref="E17" si="130">B17-C17-D17</f>
        <v>936250.42999999784</v>
      </c>
      <c r="F17" s="7">
        <f>ROUND(E17*0.04,2)+0.01</f>
        <v>37450.03</v>
      </c>
      <c r="G17" s="7">
        <f t="shared" ref="G17" si="131">ROUND(E17*0,2)</f>
        <v>0</v>
      </c>
      <c r="H17" s="7">
        <f t="shared" ref="H17" si="132">E17-F17-G17</f>
        <v>898800.39999999781</v>
      </c>
      <c r="I17" s="7">
        <f t="shared" ref="I17" si="133">ROUND(H17*0,2)</f>
        <v>0</v>
      </c>
      <c r="J17" s="7">
        <f t="shared" ref="J17" si="134">ROUND((I17*0.58)+((I17*0.42)*0.1),2)</f>
        <v>0</v>
      </c>
      <c r="K17" s="7">
        <f t="shared" ref="K17" si="135">ROUND((I17*0.42)*0.9,2)</f>
        <v>0</v>
      </c>
      <c r="L17" s="18">
        <f t="shared" ref="L17" si="136">IF(J17+K17=I17,H17-I17,"ERROR")</f>
        <v>898800.39999999781</v>
      </c>
      <c r="M17" s="7">
        <f t="shared" ref="M17" si="137">ROUND(L17*0.465,2)</f>
        <v>417942.19</v>
      </c>
      <c r="N17" s="7">
        <f>ROUND(L17*0.3,2)+0.01</f>
        <v>269640.13</v>
      </c>
      <c r="O17" s="7">
        <f t="shared" ref="O17" si="138">ROUND(L17*0.12,2)</f>
        <v>107856.05</v>
      </c>
      <c r="P17" s="7">
        <f t="shared" ref="P17" si="139">ROUND(L17*0.07,2)</f>
        <v>62916.03</v>
      </c>
      <c r="Q17" s="7">
        <f t="shared" ref="Q17" si="140">ROUND(L17*0.01,2)</f>
        <v>8988</v>
      </c>
      <c r="R17" s="7">
        <f t="shared" ref="R17" si="141">ROUND(L17*0.0075,2)</f>
        <v>6741</v>
      </c>
      <c r="S17" s="7">
        <f t="shared" ref="S17" si="142">ROUND(L17*0.0075,2)</f>
        <v>6741</v>
      </c>
      <c r="T17" s="7">
        <f>ROUND(L17*0.02,2)-0.01</f>
        <v>17976</v>
      </c>
      <c r="U17" s="7">
        <f t="shared" ref="U17" si="143">ROUND(M17*0,2)</f>
        <v>0</v>
      </c>
      <c r="V17" s="16">
        <f t="shared" ref="V17" si="144">E17/W17</f>
        <v>1462.8912968749967</v>
      </c>
      <c r="W17" s="8">
        <v>640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45927</v>
      </c>
      <c r="B18" s="7">
        <v>12136829.57</v>
      </c>
      <c r="C18" s="7">
        <v>10994610.190000001</v>
      </c>
      <c r="D18" s="7">
        <v>161922.16</v>
      </c>
      <c r="E18" s="7">
        <f t="shared" ref="E18" si="145">B18-C18-D18</f>
        <v>980297.21999999892</v>
      </c>
      <c r="F18" s="7">
        <f>ROUND(E18*0.04,2)</f>
        <v>39211.89</v>
      </c>
      <c r="G18" s="7">
        <f t="shared" ref="G18" si="146">ROUND(E18*0,2)</f>
        <v>0</v>
      </c>
      <c r="H18" s="7">
        <f t="shared" ref="H18" si="147">E18-F18-G18</f>
        <v>941085.32999999891</v>
      </c>
      <c r="I18" s="7">
        <f t="shared" ref="I18" si="148">ROUND(H18*0,2)</f>
        <v>0</v>
      </c>
      <c r="J18" s="7">
        <f t="shared" ref="J18" si="149">ROUND((I18*0.58)+((I18*0.42)*0.1),2)</f>
        <v>0</v>
      </c>
      <c r="K18" s="7">
        <f t="shared" ref="K18" si="150">ROUND((I18*0.42)*0.9,2)</f>
        <v>0</v>
      </c>
      <c r="L18" s="18">
        <f t="shared" ref="L18" si="151">IF(J18+K18=I18,H18-I18,"ERROR")</f>
        <v>941085.32999999891</v>
      </c>
      <c r="M18" s="7">
        <f t="shared" ref="M18" si="152">ROUND(L18*0.465,2)</f>
        <v>437604.68</v>
      </c>
      <c r="N18" s="7">
        <f>ROUND(L18*0.3,2)+0.01</f>
        <v>282325.61</v>
      </c>
      <c r="O18" s="7">
        <f t="shared" ref="O18" si="153">ROUND(L18*0.12,2)</f>
        <v>112930.24000000001</v>
      </c>
      <c r="P18" s="7">
        <f t="shared" ref="P18" si="154">ROUND(L18*0.07,2)</f>
        <v>65875.97</v>
      </c>
      <c r="Q18" s="7">
        <f t="shared" ref="Q18" si="155">ROUND(L18*0.01,2)</f>
        <v>9410.85</v>
      </c>
      <c r="R18" s="7">
        <f t="shared" ref="R18" si="156">ROUND(L18*0.0075,2)</f>
        <v>7058.14</v>
      </c>
      <c r="S18" s="7">
        <f t="shared" ref="S18" si="157">ROUND(L18*0.0075,2)</f>
        <v>7058.14</v>
      </c>
      <c r="T18" s="7">
        <f>ROUND(L18*0.02,2)-0.01</f>
        <v>18821.7</v>
      </c>
      <c r="U18" s="7">
        <f t="shared" ref="U18" si="158">ROUND(M18*0,2)</f>
        <v>0</v>
      </c>
      <c r="V18" s="16">
        <f t="shared" ref="V18" si="159">E18/W18</f>
        <v>1560.9828343949027</v>
      </c>
      <c r="W18" s="8">
        <v>628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45934</v>
      </c>
      <c r="B19" s="7">
        <v>11515992.32</v>
      </c>
      <c r="C19" s="7">
        <v>10436073.470000001</v>
      </c>
      <c r="D19" s="7">
        <v>151688.26</v>
      </c>
      <c r="E19" s="7">
        <f t="shared" ref="E19" si="160">B19-C19-D19</f>
        <v>928230.58999999962</v>
      </c>
      <c r="F19" s="7">
        <f>ROUND(E19*0.04,2)+0.01</f>
        <v>37129.230000000003</v>
      </c>
      <c r="G19" s="7">
        <f t="shared" ref="G19" si="161">ROUND(E19*0,2)</f>
        <v>0</v>
      </c>
      <c r="H19" s="7">
        <f t="shared" ref="H19" si="162">E19-F19-G19</f>
        <v>891101.35999999964</v>
      </c>
      <c r="I19" s="7">
        <f t="shared" ref="I19" si="163">ROUND(H19*0,2)</f>
        <v>0</v>
      </c>
      <c r="J19" s="7">
        <f t="shared" ref="J19" si="164">ROUND((I19*0.58)+((I19*0.42)*0.1),2)</f>
        <v>0</v>
      </c>
      <c r="K19" s="7">
        <f t="shared" ref="K19" si="165">ROUND((I19*0.42)*0.9,2)</f>
        <v>0</v>
      </c>
      <c r="L19" s="18">
        <f t="shared" ref="L19" si="166">IF(J19+K19=I19,H19-I19,"ERROR")</f>
        <v>891101.35999999964</v>
      </c>
      <c r="M19" s="7">
        <f t="shared" ref="M19" si="167">ROUND(L19*0.465,2)</f>
        <v>414362.13</v>
      </c>
      <c r="N19" s="7">
        <f>ROUND(L19*0.3,2)+0.01</f>
        <v>267330.42</v>
      </c>
      <c r="O19" s="7">
        <f t="shared" ref="O19" si="168">ROUND(L19*0.12,2)</f>
        <v>106932.16</v>
      </c>
      <c r="P19" s="7">
        <f t="shared" ref="P19" si="169">ROUND(L19*0.07,2)</f>
        <v>62377.1</v>
      </c>
      <c r="Q19" s="7">
        <f t="shared" ref="Q19" si="170">ROUND(L19*0.01,2)</f>
        <v>8911.01</v>
      </c>
      <c r="R19" s="7">
        <f t="shared" ref="R19" si="171">ROUND(L19*0.0075,2)</f>
        <v>6683.26</v>
      </c>
      <c r="S19" s="7">
        <f t="shared" ref="S19" si="172">ROUND(L19*0.0075,2)</f>
        <v>6683.26</v>
      </c>
      <c r="T19" s="7">
        <f>ROUND(L19*0.02,2)-0.01</f>
        <v>17822.02</v>
      </c>
      <c r="U19" s="7">
        <f t="shared" ref="U19" si="173">ROUND(M19*0,2)</f>
        <v>0</v>
      </c>
      <c r="V19" s="16">
        <f t="shared" ref="V19" si="174">E19/W19</f>
        <v>1482.7964696485617</v>
      </c>
      <c r="W19" s="8">
        <v>626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45941</v>
      </c>
      <c r="B20" s="7">
        <v>11196647.079999998</v>
      </c>
      <c r="C20" s="7">
        <v>10029540.449999999</v>
      </c>
      <c r="D20" s="7">
        <v>145134.46000000002</v>
      </c>
      <c r="E20" s="7">
        <f t="shared" ref="E20" si="175">B20-C20-D20</f>
        <v>1021972.169999999</v>
      </c>
      <c r="F20" s="7">
        <f>ROUND(E20*0.04,2)</f>
        <v>40878.89</v>
      </c>
      <c r="G20" s="7">
        <f t="shared" ref="G20" si="176">ROUND(E20*0,2)</f>
        <v>0</v>
      </c>
      <c r="H20" s="7">
        <f t="shared" ref="H20" si="177">E20-F20-G20</f>
        <v>981093.27999999898</v>
      </c>
      <c r="I20" s="7">
        <f t="shared" ref="I20" si="178">ROUND(H20*0,2)</f>
        <v>0</v>
      </c>
      <c r="J20" s="7">
        <f t="shared" ref="J20" si="179">ROUND((I20*0.58)+((I20*0.42)*0.1),2)</f>
        <v>0</v>
      </c>
      <c r="K20" s="7">
        <f t="shared" ref="K20" si="180">ROUND((I20*0.42)*0.9,2)</f>
        <v>0</v>
      </c>
      <c r="L20" s="18">
        <f t="shared" ref="L20" si="181">IF(J20+K20=I20,H20-I20,"ERROR")</f>
        <v>981093.27999999898</v>
      </c>
      <c r="M20" s="7">
        <f t="shared" ref="M20" si="182">ROUND(L20*0.465,2)</f>
        <v>456208.38</v>
      </c>
      <c r="N20" s="7">
        <f>ROUND(L20*0.3,2)+0.01</f>
        <v>294327.99</v>
      </c>
      <c r="O20" s="7">
        <f t="shared" ref="O20" si="183">ROUND(L20*0.12,2)</f>
        <v>117731.19</v>
      </c>
      <c r="P20" s="7">
        <f t="shared" ref="P20" si="184">ROUND(L20*0.07,2)</f>
        <v>68676.53</v>
      </c>
      <c r="Q20" s="7">
        <f t="shared" ref="Q20" si="185">ROUND(L20*0.01,2)</f>
        <v>9810.93</v>
      </c>
      <c r="R20" s="7">
        <f t="shared" ref="R20" si="186">ROUND(L20*0.0075,2)</f>
        <v>7358.2</v>
      </c>
      <c r="S20" s="7">
        <f t="shared" ref="S20" si="187">ROUND(L20*0.0075,2)</f>
        <v>7358.2</v>
      </c>
      <c r="T20" s="7">
        <f>ROUND(L20*0.02,2)-0.01</f>
        <v>19621.86</v>
      </c>
      <c r="U20" s="7">
        <f t="shared" ref="U20" si="188">ROUND(M20*0,2)</f>
        <v>0</v>
      </c>
      <c r="V20" s="16">
        <f t="shared" ref="V20" si="189">E20/W20</f>
        <v>1624.7570270270255</v>
      </c>
      <c r="W20" s="8">
        <v>629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45948</v>
      </c>
      <c r="B21" s="7">
        <v>11523112.849999998</v>
      </c>
      <c r="C21" s="7">
        <v>10278910.77</v>
      </c>
      <c r="D21" s="7">
        <v>148151.42000000001</v>
      </c>
      <c r="E21" s="7">
        <f t="shared" ref="E21" si="190">B21-C21-D21</f>
        <v>1096050.6599999983</v>
      </c>
      <c r="F21" s="7">
        <f>ROUND(E21*0.04,2)-0.01</f>
        <v>43842.02</v>
      </c>
      <c r="G21" s="7">
        <f t="shared" ref="G21" si="191">ROUND(E21*0,2)</f>
        <v>0</v>
      </c>
      <c r="H21" s="7">
        <f t="shared" ref="H21" si="192">E21-F21-G21</f>
        <v>1052208.6399999983</v>
      </c>
      <c r="I21" s="7">
        <f t="shared" ref="I21" si="193">ROUND(H21*0,2)</f>
        <v>0</v>
      </c>
      <c r="J21" s="7">
        <f t="shared" ref="J21" si="194">ROUND((I21*0.58)+((I21*0.42)*0.1),2)</f>
        <v>0</v>
      </c>
      <c r="K21" s="7">
        <f t="shared" ref="K21" si="195">ROUND((I21*0.42)*0.9,2)</f>
        <v>0</v>
      </c>
      <c r="L21" s="18">
        <f t="shared" ref="L21" si="196">IF(J21+K21=I21,H21-I21,"ERROR")</f>
        <v>1052208.6399999983</v>
      </c>
      <c r="M21" s="7">
        <f t="shared" ref="M21" si="197">ROUND(L21*0.465,2)</f>
        <v>489277.02</v>
      </c>
      <c r="N21" s="7">
        <f>ROUND(L21*0.3,2)</f>
        <v>315662.59000000003</v>
      </c>
      <c r="O21" s="7">
        <f t="shared" ref="O21" si="198">ROUND(L21*0.12,2)</f>
        <v>126265.04</v>
      </c>
      <c r="P21" s="7">
        <f t="shared" ref="P21" si="199">ROUND(L21*0.07,2)</f>
        <v>73654.600000000006</v>
      </c>
      <c r="Q21" s="7">
        <f t="shared" ref="Q21" si="200">ROUND(L21*0.01,2)</f>
        <v>10522.09</v>
      </c>
      <c r="R21" s="7">
        <f t="shared" ref="R21" si="201">ROUND(L21*0.0075,2)</f>
        <v>7891.56</v>
      </c>
      <c r="S21" s="7">
        <f t="shared" ref="S21" si="202">ROUND(L21*0.0075,2)</f>
        <v>7891.56</v>
      </c>
      <c r="T21" s="7">
        <f>ROUND(L21*0.02,2)+0.01</f>
        <v>21044.179999999997</v>
      </c>
      <c r="U21" s="7">
        <f t="shared" ref="U21" si="203">ROUND(M21*0,2)</f>
        <v>0</v>
      </c>
      <c r="V21" s="16">
        <f t="shared" ref="V21" si="204">E21/W21</f>
        <v>1737.0058003169545</v>
      </c>
      <c r="W21" s="8">
        <v>631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B22" s="9"/>
      <c r="V22" s="10"/>
    </row>
    <row r="23" spans="1:96" ht="15" customHeight="1" thickBot="1" x14ac:dyDescent="0.3">
      <c r="B23" s="11">
        <f t="shared" ref="B23:U23" si="205">SUM(B6:B22)</f>
        <v>186155460.79999998</v>
      </c>
      <c r="C23" s="11">
        <f t="shared" si="205"/>
        <v>167716145.44999999</v>
      </c>
      <c r="D23" s="11">
        <f t="shared" si="205"/>
        <v>2353843.87</v>
      </c>
      <c r="E23" s="11">
        <f t="shared" si="205"/>
        <v>16085471.479999995</v>
      </c>
      <c r="F23" s="11">
        <f t="shared" si="205"/>
        <v>643418.85</v>
      </c>
      <c r="G23" s="11">
        <f t="shared" si="205"/>
        <v>0</v>
      </c>
      <c r="H23" s="11">
        <f t="shared" si="205"/>
        <v>15442052.629999993</v>
      </c>
      <c r="I23" s="11">
        <f t="shared" si="205"/>
        <v>0</v>
      </c>
      <c r="J23" s="11">
        <f t="shared" si="205"/>
        <v>0</v>
      </c>
      <c r="K23" s="11">
        <f t="shared" si="205"/>
        <v>0</v>
      </c>
      <c r="L23" s="11">
        <f t="shared" si="205"/>
        <v>15442052.629999993</v>
      </c>
      <c r="M23" s="11">
        <f t="shared" si="205"/>
        <v>7180554.5</v>
      </c>
      <c r="N23" s="11">
        <f t="shared" si="205"/>
        <v>4632615.8199999994</v>
      </c>
      <c r="O23" s="11">
        <f t="shared" si="205"/>
        <v>1863947.8599999996</v>
      </c>
      <c r="P23" s="11">
        <f t="shared" si="205"/>
        <v>1071965.9400000002</v>
      </c>
      <c r="Q23" s="11">
        <f t="shared" si="205"/>
        <v>154420.51</v>
      </c>
      <c r="R23" s="11">
        <f t="shared" si="205"/>
        <v>114853.48999999999</v>
      </c>
      <c r="S23" s="11">
        <f t="shared" si="205"/>
        <v>114853.48999999999</v>
      </c>
      <c r="T23" s="11">
        <f t="shared" si="205"/>
        <v>308841.02</v>
      </c>
      <c r="U23" s="11">
        <f t="shared" si="205"/>
        <v>0</v>
      </c>
      <c r="V23" s="12">
        <f>AVERAGE(V6:V22)</f>
        <v>1577.2475972385357</v>
      </c>
      <c r="W23" s="13">
        <f>AVERAGE(W6:W22)</f>
        <v>637.5</v>
      </c>
    </row>
    <row r="24" spans="1:96" ht="15" customHeight="1" thickTop="1" x14ac:dyDescent="0.25"/>
    <row r="25" spans="1:96" ht="15" customHeight="1" x14ac:dyDescent="0.25">
      <c r="A25" s="1" t="s">
        <v>32</v>
      </c>
    </row>
    <row r="26" spans="1:96" ht="15" customHeight="1" x14ac:dyDescent="0.25">
      <c r="A26" s="1" t="s">
        <v>4</v>
      </c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R26"/>
  <sheetViews>
    <sheetView zoomScaleNormal="100" workbookViewId="0">
      <pane ySplit="3" topLeftCell="A4" activePane="bottomLeft" state="frozen"/>
      <selection pane="bottomLeft" activeCell="A23" sqref="A23"/>
    </sheetView>
  </sheetViews>
  <sheetFormatPr defaultRowHeight="15" customHeight="1" x14ac:dyDescent="0.25"/>
  <cols>
    <col min="1" max="1" width="11.7109375" customWidth="1"/>
    <col min="2" max="3" width="17.42578125" bestFit="1" customWidth="1"/>
    <col min="4" max="4" width="15.28515625" bestFit="1" customWidth="1"/>
    <col min="5" max="5" width="15.7109375" bestFit="1" customWidth="1"/>
    <col min="6" max="6" width="14.28515625" bestFit="1" customWidth="1"/>
    <col min="7" max="7" width="13.7109375" bestFit="1" customWidth="1"/>
    <col min="8" max="8" width="15.7109375" bestFit="1" customWidth="1"/>
    <col min="9" max="9" width="14.7109375" hidden="1" customWidth="1"/>
    <col min="10" max="11" width="13.7109375" bestFit="1" customWidth="1"/>
    <col min="12" max="13" width="15.7109375" bestFit="1" customWidth="1"/>
    <col min="14" max="14" width="15.28515625" bestFit="1" customWidth="1"/>
    <col min="15" max="16" width="14.7109375" bestFit="1" customWidth="1"/>
    <col min="17" max="19" width="13.7109375" bestFit="1" customWidth="1"/>
    <col min="20" max="20" width="14.140625" customWidth="1"/>
    <col min="21" max="21" width="13.7109375" bestFit="1" customWidth="1"/>
    <col min="22" max="22" width="10.5703125" bestFit="1" customWidth="1"/>
    <col min="23" max="23" width="13.5703125" bestFit="1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27</v>
      </c>
      <c r="U1" s="2" t="s">
        <v>26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33</v>
      </c>
      <c r="B2" s="4">
        <v>3286731608.7999997</v>
      </c>
      <c r="C2" s="4">
        <v>2971996004.5099998</v>
      </c>
      <c r="D2" s="4">
        <v>52556183.079999998</v>
      </c>
      <c r="E2" s="4">
        <v>262179421.21000007</v>
      </c>
      <c r="F2" s="4">
        <v>5340672.9099999992</v>
      </c>
      <c r="G2" s="4">
        <v>5146504.0599999996</v>
      </c>
      <c r="H2" s="4">
        <v>251692244.24000004</v>
      </c>
      <c r="I2" s="4">
        <v>11950515.379999999</v>
      </c>
      <c r="J2" s="4">
        <v>7433220.5700000012</v>
      </c>
      <c r="K2" s="4">
        <v>4517294.8099999996</v>
      </c>
      <c r="L2" s="4">
        <v>239741728.86000004</v>
      </c>
      <c r="M2" s="4">
        <v>106639945.23000002</v>
      </c>
      <c r="N2" s="4">
        <v>39656127.320000008</v>
      </c>
      <c r="O2" s="4">
        <v>71354910.480000019</v>
      </c>
      <c r="P2" s="4">
        <v>12199753.689999994</v>
      </c>
      <c r="Q2" s="4">
        <v>1859644.1199999999</v>
      </c>
      <c r="R2" s="4">
        <v>1618256.69</v>
      </c>
      <c r="S2" s="4">
        <v>1618256.69</v>
      </c>
      <c r="T2" s="4">
        <v>2853449.06</v>
      </c>
      <c r="U2" s="4">
        <v>1941385.5800000005</v>
      </c>
      <c r="V2" s="4">
        <v>2881.31</v>
      </c>
      <c r="W2" s="8">
        <v>1718</v>
      </c>
      <c r="X2" s="8"/>
    </row>
    <row r="3" spans="1:96" s="3" customFormat="1" ht="15" customHeight="1" x14ac:dyDescent="0.25"/>
    <row r="4" spans="1:96" s="3" customFormat="1" ht="15" customHeight="1" x14ac:dyDescent="0.25">
      <c r="A4" s="21" t="s">
        <v>34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1:96" s="3" customFormat="1" ht="15" customHeight="1" x14ac:dyDescent="0.25"/>
    <row r="6" spans="1:96" ht="15" customHeight="1" x14ac:dyDescent="0.25">
      <c r="A6" s="6" t="str">
        <f>Mountaineer!A6</f>
        <v>7/5/2025 *</v>
      </c>
      <c r="B6" s="7">
        <v>55411860.209999993</v>
      </c>
      <c r="C6" s="7">
        <v>50143135.489999995</v>
      </c>
      <c r="D6" s="7">
        <v>1025090.06</v>
      </c>
      <c r="E6" s="7">
        <f t="shared" ref="E6" si="0">B6-C6-D6</f>
        <v>4243634.6599999983</v>
      </c>
      <c r="F6" s="7">
        <f>ROUND(E6*0.04,2)</f>
        <v>169745.39</v>
      </c>
      <c r="G6" s="7">
        <f t="shared" ref="G6" si="1">ROUND(E6*0,2)</f>
        <v>0</v>
      </c>
      <c r="H6" s="7">
        <f t="shared" ref="H6" si="2">E6-F6-G6</f>
        <v>4073889.2699999982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4073889.2699999982</v>
      </c>
      <c r="M6" s="7">
        <f t="shared" ref="M6" si="7">ROUND(L6*0.465,2)</f>
        <v>1894358.51</v>
      </c>
      <c r="N6" s="7">
        <f>ROUND(L6*0.3,2)+0.02</f>
        <v>1222166.8</v>
      </c>
      <c r="O6" s="7">
        <f t="shared" ref="O6" si="8">ROUND(L6*0.1285,2)</f>
        <v>523494.77</v>
      </c>
      <c r="P6" s="7">
        <f t="shared" ref="P6" si="9">ROUND((L6*0.07)*0.9,2)</f>
        <v>256655.02</v>
      </c>
      <c r="Q6" s="7">
        <f t="shared" ref="Q6" si="10">ROUND(L6*0.01,2)</f>
        <v>40738.89</v>
      </c>
      <c r="R6" s="7">
        <f t="shared" ref="R6" si="11">ROUND((L6*0.0075)*0.9,2)</f>
        <v>27498.75</v>
      </c>
      <c r="S6" s="7">
        <f t="shared" ref="S6" si="12">ROUND((L6*0.0075)*0.9,2)</f>
        <v>27498.75</v>
      </c>
      <c r="T6" s="7">
        <f>ROUND(L6*0.02,2)-0.01</f>
        <v>81477.78</v>
      </c>
      <c r="U6" s="7">
        <f t="shared" ref="U6" si="13">ROUND(M6*0,2)</f>
        <v>0</v>
      </c>
      <c r="V6" s="16">
        <f t="shared" ref="V6" si="14">E6/W6</f>
        <v>2411.1560568181808</v>
      </c>
      <c r="W6" s="8">
        <v>1760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45850</v>
      </c>
      <c r="B7" s="7">
        <v>63247123.50999999</v>
      </c>
      <c r="C7" s="7">
        <v>57103731.07</v>
      </c>
      <c r="D7" s="7">
        <v>1207893.8</v>
      </c>
      <c r="E7" s="7">
        <f t="shared" ref="E7" si="15">B7-C7-D7</f>
        <v>4935498.6399999904</v>
      </c>
      <c r="F7" s="7">
        <f>ROUND(E7*0.04,2)</f>
        <v>197419.95</v>
      </c>
      <c r="G7" s="7">
        <f t="shared" ref="G7" si="16">ROUND(E7*0,2)</f>
        <v>0</v>
      </c>
      <c r="H7" s="7">
        <f t="shared" ref="H7" si="17">E7-F7-G7</f>
        <v>4738078.6899999902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4738078.6899999902</v>
      </c>
      <c r="M7" s="7">
        <f t="shared" ref="M7" si="22">ROUND(L7*0.465,2)</f>
        <v>2203206.59</v>
      </c>
      <c r="N7" s="7">
        <f>ROUND(L7*0.3,2)-0.01</f>
        <v>1421423.6</v>
      </c>
      <c r="O7" s="7">
        <v>584777.36</v>
      </c>
      <c r="P7" s="7">
        <v>318317.81</v>
      </c>
      <c r="Q7" s="7">
        <f t="shared" ref="Q7" si="23">ROUND(L7*0.01,2)</f>
        <v>47380.79</v>
      </c>
      <c r="R7" s="7">
        <v>34105.480000000003</v>
      </c>
      <c r="S7" s="7">
        <v>34105.480000000003</v>
      </c>
      <c r="T7" s="7">
        <f>ROUND(L7*0.02,2)+0.01</f>
        <v>94761.58</v>
      </c>
      <c r="U7" s="7">
        <f t="shared" ref="U7" si="24">ROUND(M7*0,2)</f>
        <v>0</v>
      </c>
      <c r="V7" s="16">
        <f t="shared" ref="V7" si="25">E7/W7</f>
        <v>2826.7460710194678</v>
      </c>
      <c r="W7" s="8">
        <v>1746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45857</v>
      </c>
      <c r="B8" s="7">
        <v>64907195.359999999</v>
      </c>
      <c r="C8" s="7">
        <v>58573804.219999999</v>
      </c>
      <c r="D8" s="7">
        <v>1144332.9500000002</v>
      </c>
      <c r="E8" s="7">
        <f t="shared" ref="E8" si="26">B8-C8-D8</f>
        <v>5189058.1900000004</v>
      </c>
      <c r="F8" s="7">
        <f>ROUND(E8*0.04,2)+0.01</f>
        <v>207562.34</v>
      </c>
      <c r="G8" s="7">
        <f t="shared" ref="G8" si="27">ROUND(E8*0,2)</f>
        <v>0</v>
      </c>
      <c r="H8" s="7">
        <f t="shared" ref="H8" si="28">E8-F8-G8</f>
        <v>4981495.8500000006</v>
      </c>
      <c r="I8" s="7">
        <f t="shared" ref="I8" si="29">ROUND(H8*0,2)</f>
        <v>0</v>
      </c>
      <c r="J8" s="7">
        <f t="shared" ref="J8" si="30">ROUND((I8*0.58)+((I8*0.42)*0.1),2)</f>
        <v>0</v>
      </c>
      <c r="K8" s="7">
        <f t="shared" ref="K8" si="31">ROUND((I8*0.42)*0.9,2)</f>
        <v>0</v>
      </c>
      <c r="L8" s="18">
        <f t="shared" ref="L8" si="32">IF(J8+K8=I8,H8-I8,"ERROR")</f>
        <v>4981495.8500000006</v>
      </c>
      <c r="M8" s="7">
        <f t="shared" ref="M8" si="33">ROUND(L8*0.465,2)</f>
        <v>2316395.5699999998</v>
      </c>
      <c r="N8" s="7">
        <f>ROUND(L8*0.3,2)-0.01</f>
        <v>1494448.75</v>
      </c>
      <c r="O8" s="7">
        <f t="shared" ref="O8:O13" si="34">ROUND(L8*0.12,2)</f>
        <v>597779.5</v>
      </c>
      <c r="P8" s="7">
        <f t="shared" ref="P8:P13" si="35">ROUND(L8*0.07,2)</f>
        <v>348704.71</v>
      </c>
      <c r="Q8" s="7">
        <f t="shared" ref="Q8" si="36">ROUND(L8*0.01,2)</f>
        <v>49814.96</v>
      </c>
      <c r="R8" s="7">
        <f t="shared" ref="R8:R13" si="37">ROUND(L8*0.0075,2)</f>
        <v>37361.22</v>
      </c>
      <c r="S8" s="7">
        <f t="shared" ref="S8:S13" si="38">ROUND(L8*0.0075,2)</f>
        <v>37361.22</v>
      </c>
      <c r="T8" s="7">
        <f>ROUND(L8*0.02,2)</f>
        <v>99629.92</v>
      </c>
      <c r="U8" s="7">
        <f t="shared" ref="U8" si="39">ROUND(M8*0,2)</f>
        <v>0</v>
      </c>
      <c r="V8" s="16">
        <f t="shared" ref="V8" si="40">E8/W8</f>
        <v>2961.7912043378997</v>
      </c>
      <c r="W8" s="8">
        <v>1752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45864</v>
      </c>
      <c r="B9" s="7">
        <v>70007732.459999993</v>
      </c>
      <c r="C9" s="7">
        <v>63541901.609999999</v>
      </c>
      <c r="D9" s="7">
        <v>1255174.81</v>
      </c>
      <c r="E9" s="7">
        <f t="shared" ref="E9" si="41">B9-C9-D9</f>
        <v>5210656.0399999935</v>
      </c>
      <c r="F9" s="7">
        <f>ROUND(E9*0.04,2)+0.01</f>
        <v>208426.25</v>
      </c>
      <c r="G9" s="7">
        <f t="shared" ref="G9" si="42">ROUND(E9*0,2)</f>
        <v>0</v>
      </c>
      <c r="H9" s="7">
        <f t="shared" ref="H9" si="43">E9-F9-G9</f>
        <v>5002229.7899999935</v>
      </c>
      <c r="I9" s="7">
        <f t="shared" ref="I9" si="44">ROUND(H9*0,2)</f>
        <v>0</v>
      </c>
      <c r="J9" s="7">
        <f t="shared" ref="J9" si="45">ROUND((I9*0.58)+((I9*0.42)*0.1),2)</f>
        <v>0</v>
      </c>
      <c r="K9" s="7">
        <f t="shared" ref="K9" si="46">ROUND((I9*0.42)*0.9,2)</f>
        <v>0</v>
      </c>
      <c r="L9" s="18">
        <f t="shared" ref="L9" si="47">IF(J9+K9=I9,H9-I9,"ERROR")</f>
        <v>5002229.7899999935</v>
      </c>
      <c r="M9" s="7">
        <f t="shared" ref="M9" si="48">ROUND(L9*0.465,2)</f>
        <v>2326036.85</v>
      </c>
      <c r="N9" s="7">
        <f>ROUND(L9*0.3,2)</f>
        <v>1500668.94</v>
      </c>
      <c r="O9" s="7">
        <f t="shared" si="34"/>
        <v>600267.56999999995</v>
      </c>
      <c r="P9" s="7">
        <f t="shared" si="35"/>
        <v>350156.09</v>
      </c>
      <c r="Q9" s="7">
        <f t="shared" ref="Q9" si="49">ROUND(L9*0.01,2)</f>
        <v>50022.3</v>
      </c>
      <c r="R9" s="7">
        <f t="shared" si="37"/>
        <v>37516.720000000001</v>
      </c>
      <c r="S9" s="7">
        <f t="shared" si="38"/>
        <v>37516.720000000001</v>
      </c>
      <c r="T9" s="7">
        <f>ROUND(L9*0.02,2)</f>
        <v>100044.6</v>
      </c>
      <c r="U9" s="7">
        <f t="shared" ref="U9" si="50">ROUND(M9*0,2)</f>
        <v>0</v>
      </c>
      <c r="V9" s="16">
        <f t="shared" ref="V9" si="51">E9/W9</f>
        <v>3052.5225776215543</v>
      </c>
      <c r="W9" s="8">
        <v>1707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45871</v>
      </c>
      <c r="B10" s="7">
        <v>69171343.439999998</v>
      </c>
      <c r="C10" s="7">
        <v>62697695.810000002</v>
      </c>
      <c r="D10" s="7">
        <v>1131922.56</v>
      </c>
      <c r="E10" s="7">
        <f t="shared" ref="E10" si="52">B10-C10-D10</f>
        <v>5341725.0699999947</v>
      </c>
      <c r="F10" s="7">
        <f>ROUND(E10*0.04,2)+0.01</f>
        <v>213669.01</v>
      </c>
      <c r="G10" s="7">
        <f t="shared" ref="G10" si="53">ROUND(E10*0,2)</f>
        <v>0</v>
      </c>
      <c r="H10" s="7">
        <f t="shared" ref="H10" si="54">E10-F10-G10</f>
        <v>5128056.0599999949</v>
      </c>
      <c r="I10" s="7">
        <f t="shared" ref="I10" si="55">ROUND(H10*0,2)</f>
        <v>0</v>
      </c>
      <c r="J10" s="7">
        <f t="shared" ref="J10" si="56">ROUND((I10*0.58)+((I10*0.42)*0.1),2)</f>
        <v>0</v>
      </c>
      <c r="K10" s="7">
        <f t="shared" ref="K10" si="57">ROUND((I10*0.42)*0.9,2)</f>
        <v>0</v>
      </c>
      <c r="L10" s="18">
        <f t="shared" ref="L10" si="58">IF(J10+K10=I10,H10-I10,"ERROR")</f>
        <v>5128056.0599999949</v>
      </c>
      <c r="M10" s="7">
        <f t="shared" ref="M10" si="59">ROUND(L10*0.465,2)</f>
        <v>2384546.0699999998</v>
      </c>
      <c r="N10" s="7">
        <f>ROUND(L10*0.3,2)</f>
        <v>1538416.82</v>
      </c>
      <c r="O10" s="7">
        <f t="shared" si="34"/>
        <v>615366.73</v>
      </c>
      <c r="P10" s="7">
        <f t="shared" si="35"/>
        <v>358963.92</v>
      </c>
      <c r="Q10" s="7">
        <f t="shared" ref="Q10" si="60">ROUND(L10*0.01,2)</f>
        <v>51280.56</v>
      </c>
      <c r="R10" s="7">
        <f t="shared" si="37"/>
        <v>38460.42</v>
      </c>
      <c r="S10" s="7">
        <f t="shared" si="38"/>
        <v>38460.42</v>
      </c>
      <c r="T10" s="7">
        <f>ROUND(L10*0.02,2)</f>
        <v>102561.12</v>
      </c>
      <c r="U10" s="7">
        <f t="shared" ref="U10" si="61">ROUND(M10*0,2)</f>
        <v>0</v>
      </c>
      <c r="V10" s="16">
        <f t="shared" ref="V10" si="62">E10/W10</f>
        <v>3077.0305702764945</v>
      </c>
      <c r="W10" s="8">
        <v>1736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45878</v>
      </c>
      <c r="B11" s="7">
        <v>68404335.390000001</v>
      </c>
      <c r="C11" s="7">
        <v>61921983.170000002</v>
      </c>
      <c r="D11" s="7">
        <v>1193666.98</v>
      </c>
      <c r="E11" s="7">
        <f t="shared" ref="E11" si="63">B11-C11-D11</f>
        <v>5288685.2399999984</v>
      </c>
      <c r="F11" s="7">
        <f>ROUND(E11*0.04,2)</f>
        <v>211547.41</v>
      </c>
      <c r="G11" s="7">
        <f t="shared" ref="G11" si="64">ROUND(E11*0,2)</f>
        <v>0</v>
      </c>
      <c r="H11" s="7">
        <f t="shared" ref="H11" si="65">E11-F11-G11</f>
        <v>5077137.8299999982</v>
      </c>
      <c r="I11" s="7">
        <f t="shared" ref="I11" si="66">ROUND(H11*0,2)</f>
        <v>0</v>
      </c>
      <c r="J11" s="7">
        <f t="shared" ref="J11" si="67">ROUND((I11*0.58)+((I11*0.42)*0.1),2)</f>
        <v>0</v>
      </c>
      <c r="K11" s="7">
        <f t="shared" ref="K11" si="68">ROUND((I11*0.42)*0.9,2)</f>
        <v>0</v>
      </c>
      <c r="L11" s="18">
        <f t="shared" ref="L11" si="69">IF(J11+K11=I11,H11-I11,"ERROR")</f>
        <v>5077137.8299999982</v>
      </c>
      <c r="M11" s="7">
        <f t="shared" ref="M11" si="70">ROUND(L11*0.465,2)</f>
        <v>2360869.09</v>
      </c>
      <c r="N11" s="7">
        <f>ROUND(L11*0.3,2)</f>
        <v>1523141.35</v>
      </c>
      <c r="O11" s="7">
        <f t="shared" si="34"/>
        <v>609256.54</v>
      </c>
      <c r="P11" s="7">
        <f t="shared" si="35"/>
        <v>355399.65</v>
      </c>
      <c r="Q11" s="7">
        <f t="shared" ref="Q11" si="71">ROUND(L11*0.01,2)</f>
        <v>50771.38</v>
      </c>
      <c r="R11" s="7">
        <f t="shared" si="37"/>
        <v>38078.53</v>
      </c>
      <c r="S11" s="7">
        <f t="shared" si="38"/>
        <v>38078.53</v>
      </c>
      <c r="T11" s="7">
        <f>ROUND(L11*0.02,2)</f>
        <v>101542.76</v>
      </c>
      <c r="U11" s="7">
        <f t="shared" ref="U11" si="72">ROUND(M11*0,2)</f>
        <v>0</v>
      </c>
      <c r="V11" s="16">
        <f t="shared" ref="V11" si="73">E11/W11</f>
        <v>3074.8169999999991</v>
      </c>
      <c r="W11" s="8">
        <v>1720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45885</v>
      </c>
      <c r="B12" s="7">
        <v>63429239.689999998</v>
      </c>
      <c r="C12" s="7">
        <v>57435654.799999997</v>
      </c>
      <c r="D12" s="7">
        <v>1040547.7</v>
      </c>
      <c r="E12" s="7">
        <f t="shared" ref="E12" si="74">B12-C12-D12</f>
        <v>4953037.1900000004</v>
      </c>
      <c r="F12" s="7">
        <f>ROUND(E12*0.04,2)-0.01</f>
        <v>198121.47999999998</v>
      </c>
      <c r="G12" s="7">
        <f t="shared" ref="G12" si="75">ROUND(E12*0,2)</f>
        <v>0</v>
      </c>
      <c r="H12" s="7">
        <f t="shared" ref="H12" si="76">E12-F12-G12</f>
        <v>4754915.7100000009</v>
      </c>
      <c r="I12" s="7">
        <f t="shared" ref="I12" si="77">ROUND(H12*0,2)</f>
        <v>0</v>
      </c>
      <c r="J12" s="7">
        <f t="shared" ref="J12" si="78">ROUND((I12*0.58)+((I12*0.42)*0.1),2)</f>
        <v>0</v>
      </c>
      <c r="K12" s="7">
        <f t="shared" ref="K12" si="79">ROUND((I12*0.42)*0.9,2)</f>
        <v>0</v>
      </c>
      <c r="L12" s="18">
        <f t="shared" ref="L12" si="80">IF(J12+K12=I12,H12-I12,"ERROR")</f>
        <v>4754915.7100000009</v>
      </c>
      <c r="M12" s="7">
        <f t="shared" ref="M12" si="81">ROUND(L12*0.465,2)</f>
        <v>2211035.81</v>
      </c>
      <c r="N12" s="7">
        <f>ROUND(L12*0.3,2)-0.02</f>
        <v>1426474.69</v>
      </c>
      <c r="O12" s="7">
        <f t="shared" si="34"/>
        <v>570589.89</v>
      </c>
      <c r="P12" s="7">
        <f t="shared" si="35"/>
        <v>332844.09999999998</v>
      </c>
      <c r="Q12" s="7">
        <f t="shared" ref="Q12" si="82">ROUND(L12*0.01,2)</f>
        <v>47549.16</v>
      </c>
      <c r="R12" s="7">
        <f t="shared" si="37"/>
        <v>35661.870000000003</v>
      </c>
      <c r="S12" s="7">
        <f t="shared" si="38"/>
        <v>35661.870000000003</v>
      </c>
      <c r="T12" s="7">
        <f>ROUND(L12*0.02,2)+0.01</f>
        <v>95098.319999999992</v>
      </c>
      <c r="U12" s="7">
        <f t="shared" ref="U12" si="83">ROUND(M12*0,2)</f>
        <v>0</v>
      </c>
      <c r="V12" s="16">
        <f t="shared" ref="V12" si="84">E12/W12</f>
        <v>2858.0710848240046</v>
      </c>
      <c r="W12" s="8">
        <v>1733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45892</v>
      </c>
      <c r="B13" s="7">
        <v>67929866.879999995</v>
      </c>
      <c r="C13" s="7">
        <v>61594609.230000004</v>
      </c>
      <c r="D13" s="7">
        <v>1266758.03</v>
      </c>
      <c r="E13" s="7">
        <f t="shared" ref="E13" si="85">B13-C13-D13</f>
        <v>5068499.6199999908</v>
      </c>
      <c r="F13" s="7">
        <f>ROUND(E13*0.04,2)+0.02</f>
        <v>202740</v>
      </c>
      <c r="G13" s="7">
        <f t="shared" ref="G13" si="86">ROUND(E13*0,2)</f>
        <v>0</v>
      </c>
      <c r="H13" s="7">
        <f t="shared" ref="H13" si="87">E13-F13-G13</f>
        <v>4865759.6199999908</v>
      </c>
      <c r="I13" s="7">
        <f t="shared" ref="I13" si="88">ROUND(H13*0,2)</f>
        <v>0</v>
      </c>
      <c r="J13" s="7">
        <f t="shared" ref="J13" si="89">ROUND((I13*0.58)+((I13*0.42)*0.1),2)</f>
        <v>0</v>
      </c>
      <c r="K13" s="7">
        <f t="shared" ref="K13" si="90">ROUND((I13*0.42)*0.9,2)</f>
        <v>0</v>
      </c>
      <c r="L13" s="18">
        <f t="shared" ref="L13" si="91">IF(J13+K13=I13,H13-I13,"ERROR")</f>
        <v>4865759.6199999908</v>
      </c>
      <c r="M13" s="7">
        <f t="shared" ref="M13" si="92">ROUND(L13*0.465,2)</f>
        <v>2262578.2200000002</v>
      </c>
      <c r="N13" s="7">
        <f>ROUND(L13*0.3,2)-0.01</f>
        <v>1459727.88</v>
      </c>
      <c r="O13" s="7">
        <f t="shared" si="34"/>
        <v>583891.15</v>
      </c>
      <c r="P13" s="7">
        <f t="shared" si="35"/>
        <v>340603.17</v>
      </c>
      <c r="Q13" s="7">
        <f t="shared" ref="Q13" si="93">ROUND(L13*0.01,2)</f>
        <v>48657.599999999999</v>
      </c>
      <c r="R13" s="7">
        <f t="shared" si="37"/>
        <v>36493.199999999997</v>
      </c>
      <c r="S13" s="7">
        <f t="shared" si="38"/>
        <v>36493.199999999997</v>
      </c>
      <c r="T13" s="7">
        <f>ROUND(L13*0.02,2)+0.01</f>
        <v>97315.199999999997</v>
      </c>
      <c r="U13" s="7">
        <f t="shared" ref="U13" si="94">ROUND(M13*0,2)</f>
        <v>0</v>
      </c>
      <c r="V13" s="16">
        <f t="shared" ref="V13" si="95">E13/W13</f>
        <v>2965.76923346986</v>
      </c>
      <c r="W13" s="8">
        <v>1709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45899</v>
      </c>
      <c r="B14" s="7">
        <v>69320242.11999999</v>
      </c>
      <c r="C14" s="7">
        <v>63042430.95000001</v>
      </c>
      <c r="D14" s="7">
        <v>1059071.8399999999</v>
      </c>
      <c r="E14" s="7">
        <f t="shared" ref="E14" si="96">B14-C14-D14</f>
        <v>5218739.3299999796</v>
      </c>
      <c r="F14" s="7">
        <f>ROUND(E14*0.04,2)</f>
        <v>208749.57</v>
      </c>
      <c r="G14" s="7">
        <f t="shared" ref="G14" si="97">ROUND(E14*0,2)</f>
        <v>0</v>
      </c>
      <c r="H14" s="7">
        <f t="shared" ref="H14" si="98">E14-F14-G14</f>
        <v>5009989.7599999793</v>
      </c>
      <c r="I14" s="7">
        <f t="shared" ref="I14" si="99">ROUND(H14*0,2)</f>
        <v>0</v>
      </c>
      <c r="J14" s="7">
        <f t="shared" ref="J14" si="100">ROUND((I14*0.58)+((I14*0.42)*0.1),2)</f>
        <v>0</v>
      </c>
      <c r="K14" s="7">
        <f t="shared" ref="K14" si="101">ROUND((I14*0.42)*0.9,2)</f>
        <v>0</v>
      </c>
      <c r="L14" s="18">
        <f t="shared" ref="L14" si="102">IF(J14+K14=I14,H14-I14,"ERROR")</f>
        <v>5009989.7599999793</v>
      </c>
      <c r="M14" s="7">
        <f t="shared" ref="M14" si="103">ROUND(L14*0.465,2)</f>
        <v>2329645.2400000002</v>
      </c>
      <c r="N14" s="7">
        <f>ROUND(L14*0.3,2)</f>
        <v>1502996.93</v>
      </c>
      <c r="O14" s="7">
        <f t="shared" ref="O14" si="104">ROUND(L14*0.12,2)</f>
        <v>601198.77</v>
      </c>
      <c r="P14" s="7">
        <f t="shared" ref="P14" si="105">ROUND(L14*0.07,2)</f>
        <v>350699.28</v>
      </c>
      <c r="Q14" s="7">
        <f t="shared" ref="Q14" si="106">ROUND(L14*0.01,2)</f>
        <v>50099.9</v>
      </c>
      <c r="R14" s="7">
        <f t="shared" ref="R14" si="107">ROUND(L14*0.0075,2)</f>
        <v>37574.92</v>
      </c>
      <c r="S14" s="7">
        <f t="shared" ref="S14" si="108">ROUND(L14*0.0075,2)</f>
        <v>37574.92</v>
      </c>
      <c r="T14" s="7">
        <f>ROUND(L14*0.02,2)</f>
        <v>100199.8</v>
      </c>
      <c r="U14" s="7">
        <f t="shared" ref="U14" si="109">ROUND(M14*0,2)</f>
        <v>0</v>
      </c>
      <c r="V14" s="16">
        <f t="shared" ref="V14" si="110">E14/W14</f>
        <v>3044.7720711785178</v>
      </c>
      <c r="W14" s="8">
        <v>1714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45906</v>
      </c>
      <c r="B15" s="7">
        <v>74486829.590000004</v>
      </c>
      <c r="C15" s="7">
        <v>67656173.25</v>
      </c>
      <c r="D15" s="7">
        <v>1356829.26</v>
      </c>
      <c r="E15" s="7">
        <f t="shared" ref="E15" si="111">B15-C15-D15</f>
        <v>5473827.0800000038</v>
      </c>
      <c r="F15" s="7">
        <f>ROUND(E15*0.04,2)</f>
        <v>218953.08</v>
      </c>
      <c r="G15" s="7">
        <f t="shared" ref="G15" si="112">ROUND(E15*0,2)</f>
        <v>0</v>
      </c>
      <c r="H15" s="7">
        <f t="shared" ref="H15" si="113">E15-F15-G15</f>
        <v>5254874.0000000037</v>
      </c>
      <c r="I15" s="7">
        <f t="shared" ref="I15" si="114">ROUND(H15*0,2)</f>
        <v>0</v>
      </c>
      <c r="J15" s="7">
        <f t="shared" ref="J15" si="115">ROUND((I15*0.58)+((I15*0.42)*0.1),2)</f>
        <v>0</v>
      </c>
      <c r="K15" s="7">
        <f t="shared" ref="K15" si="116">ROUND((I15*0.42)*0.9,2)</f>
        <v>0</v>
      </c>
      <c r="L15" s="18">
        <f t="shared" ref="L15" si="117">IF(J15+K15=I15,H15-I15,"ERROR")</f>
        <v>5254874.0000000037</v>
      </c>
      <c r="M15" s="7">
        <f t="shared" ref="M15" si="118">ROUND(L15*0.465,2)</f>
        <v>2443516.41</v>
      </c>
      <c r="N15" s="7">
        <f>ROUND(L15*0.3,2)-0.01</f>
        <v>1576462.19</v>
      </c>
      <c r="O15" s="7">
        <f t="shared" ref="O15" si="119">ROUND(L15*0.12,2)</f>
        <v>630584.88</v>
      </c>
      <c r="P15" s="7">
        <f t="shared" ref="P15" si="120">ROUND(L15*0.07,2)</f>
        <v>367841.18</v>
      </c>
      <c r="Q15" s="7">
        <f t="shared" ref="Q15" si="121">ROUND(L15*0.01,2)</f>
        <v>52548.74</v>
      </c>
      <c r="R15" s="7">
        <f t="shared" ref="R15" si="122">ROUND(L15*0.0075,2)</f>
        <v>39411.56</v>
      </c>
      <c r="S15" s="7">
        <f t="shared" ref="S15" si="123">ROUND(L15*0.0075,2)</f>
        <v>39411.56</v>
      </c>
      <c r="T15" s="7">
        <v>72264.94</v>
      </c>
      <c r="U15" s="7">
        <v>32832.54</v>
      </c>
      <c r="V15" s="16">
        <f t="shared" ref="V15" si="124">E15/W15</f>
        <v>3225.590500883915</v>
      </c>
      <c r="W15" s="8">
        <v>1697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45913</v>
      </c>
      <c r="B16" s="7">
        <v>61539277.100000001</v>
      </c>
      <c r="C16" s="7">
        <v>55681515.93</v>
      </c>
      <c r="D16" s="7">
        <v>1030747.6699999999</v>
      </c>
      <c r="E16" s="7">
        <f t="shared" ref="E16" si="125">B16-C16-D16</f>
        <v>4827013.5000000019</v>
      </c>
      <c r="F16" s="7">
        <f>ROUND(E16*0.04,2)+0.01</f>
        <v>193080.55000000002</v>
      </c>
      <c r="G16" s="7">
        <f t="shared" ref="G16" si="126">ROUND(E16*0,2)</f>
        <v>0</v>
      </c>
      <c r="H16" s="7">
        <f t="shared" ref="H16" si="127">E16-F16-G16</f>
        <v>4633932.950000002</v>
      </c>
      <c r="I16" s="7">
        <f t="shared" ref="I16" si="128">ROUND(H16*0,2)</f>
        <v>0</v>
      </c>
      <c r="J16" s="7">
        <f t="shared" ref="J16" si="129">ROUND((I16*0.58)+((I16*0.42)*0.1),2)</f>
        <v>0</v>
      </c>
      <c r="K16" s="7">
        <f t="shared" ref="K16" si="130">ROUND((I16*0.42)*0.9,2)</f>
        <v>0</v>
      </c>
      <c r="L16" s="18">
        <f t="shared" ref="L16" si="131">IF(J16+K16=I16,H16-I16,"ERROR")</f>
        <v>4633932.950000002</v>
      </c>
      <c r="M16" s="7">
        <f t="shared" ref="M16" si="132">ROUND(L16*0.465,2)</f>
        <v>2154778.8199999998</v>
      </c>
      <c r="N16" s="7">
        <f>ROUND(L16*0.3,2)-0.01</f>
        <v>1390179.88</v>
      </c>
      <c r="O16" s="7">
        <f t="shared" ref="O16" si="133">ROUND(L16*0.12,2)</f>
        <v>556071.94999999995</v>
      </c>
      <c r="P16" s="7">
        <f t="shared" ref="P16" si="134">ROUND(L16*0.07,2)</f>
        <v>324375.31</v>
      </c>
      <c r="Q16" s="7">
        <f t="shared" ref="Q16" si="135">ROUND(L16*0.01,2)</f>
        <v>46339.33</v>
      </c>
      <c r="R16" s="7">
        <f t="shared" ref="R16" si="136">ROUND(L16*0.0075,2)</f>
        <v>34754.5</v>
      </c>
      <c r="S16" s="7">
        <f t="shared" ref="S16" si="137">ROUND(L16*0.0075,2)</f>
        <v>34754.5</v>
      </c>
      <c r="T16" s="7">
        <f t="shared" ref="T16" si="138">ROUND(L16*0.01,2)</f>
        <v>46339.33</v>
      </c>
      <c r="U16" s="7">
        <f t="shared" ref="U16" si="139">ROUND(L16*0.01,2)</f>
        <v>46339.33</v>
      </c>
      <c r="V16" s="16">
        <f t="shared" ref="V16" si="140">E16/W16</f>
        <v>2899.1072072072084</v>
      </c>
      <c r="W16" s="8">
        <v>1665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45920</v>
      </c>
      <c r="B17" s="7">
        <v>64713016.309999995</v>
      </c>
      <c r="C17" s="7">
        <v>58409373.359999999</v>
      </c>
      <c r="D17" s="7">
        <v>1065469.95</v>
      </c>
      <c r="E17" s="7">
        <f t="shared" ref="E17" si="141">B17-C17-D17</f>
        <v>5238172.9999999953</v>
      </c>
      <c r="F17" s="7">
        <f>ROUND(E17*0.04,2)+0.01</f>
        <v>209526.93000000002</v>
      </c>
      <c r="G17" s="7">
        <f t="shared" ref="G17" si="142">ROUND(E17*0,2)</f>
        <v>0</v>
      </c>
      <c r="H17" s="7">
        <f t="shared" ref="H17" si="143">E17-F17-G17</f>
        <v>5028646.0699999956</v>
      </c>
      <c r="I17" s="7">
        <f t="shared" ref="I17" si="144">ROUND(H17*0,2)</f>
        <v>0</v>
      </c>
      <c r="J17" s="7">
        <f t="shared" ref="J17" si="145">ROUND((I17*0.58)+((I17*0.42)*0.1),2)</f>
        <v>0</v>
      </c>
      <c r="K17" s="7">
        <f t="shared" ref="K17" si="146">ROUND((I17*0.42)*0.9,2)</f>
        <v>0</v>
      </c>
      <c r="L17" s="18">
        <f t="shared" ref="L17" si="147">IF(J17+K17=I17,H17-I17,"ERROR")</f>
        <v>5028646.0699999956</v>
      </c>
      <c r="M17" s="7">
        <f t="shared" ref="M17" si="148">ROUND(L17*0.465,2)</f>
        <v>2338320.42</v>
      </c>
      <c r="N17" s="7">
        <f>ROUND(L17*0.3,2)</f>
        <v>1508593.82</v>
      </c>
      <c r="O17" s="7">
        <f t="shared" ref="O17" si="149">ROUND(L17*0.12,2)</f>
        <v>603437.53</v>
      </c>
      <c r="P17" s="7">
        <f t="shared" ref="P17" si="150">ROUND(L17*0.07,2)</f>
        <v>352005.22</v>
      </c>
      <c r="Q17" s="7">
        <f t="shared" ref="Q17" si="151">ROUND(L17*0.01,2)</f>
        <v>50286.46</v>
      </c>
      <c r="R17" s="7">
        <f t="shared" ref="R17" si="152">ROUND(L17*0.0075,2)</f>
        <v>37714.85</v>
      </c>
      <c r="S17" s="7">
        <f t="shared" ref="S17" si="153">ROUND(L17*0.0075,2)</f>
        <v>37714.85</v>
      </c>
      <c r="T17" s="7">
        <f t="shared" ref="T17" si="154">ROUND(L17*0.01,2)</f>
        <v>50286.46</v>
      </c>
      <c r="U17" s="7">
        <f t="shared" ref="U17" si="155">ROUND(L17*0.01,2)</f>
        <v>50286.46</v>
      </c>
      <c r="V17" s="16">
        <f t="shared" ref="V17" si="156">E17/W17</f>
        <v>3131.0059772863092</v>
      </c>
      <c r="W17" s="8">
        <v>1673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45927</v>
      </c>
      <c r="B18" s="7">
        <v>65244826.399999999</v>
      </c>
      <c r="C18" s="7">
        <v>58944860.32</v>
      </c>
      <c r="D18" s="7">
        <v>1036561.1399999999</v>
      </c>
      <c r="E18" s="7">
        <f t="shared" ref="E18" si="157">B18-C18-D18</f>
        <v>5263404.9399999985</v>
      </c>
      <c r="F18" s="7">
        <f>ROUND(E18*0.04,2)+0.01</f>
        <v>210536.21000000002</v>
      </c>
      <c r="G18" s="7">
        <f t="shared" ref="G18" si="158">ROUND(E18*0,2)</f>
        <v>0</v>
      </c>
      <c r="H18" s="7">
        <f t="shared" ref="H18" si="159">E18-F18-G18</f>
        <v>5052868.7299999986</v>
      </c>
      <c r="I18" s="7">
        <f t="shared" ref="I18" si="160">ROUND(H18*0,2)</f>
        <v>0</v>
      </c>
      <c r="J18" s="7">
        <f t="shared" ref="J18" si="161">ROUND((I18*0.58)+((I18*0.42)*0.1),2)</f>
        <v>0</v>
      </c>
      <c r="K18" s="7">
        <f t="shared" ref="K18" si="162">ROUND((I18*0.42)*0.9,2)</f>
        <v>0</v>
      </c>
      <c r="L18" s="18">
        <f t="shared" ref="L18" si="163">IF(J18+K18=I18,H18-I18,"ERROR")</f>
        <v>5052868.7299999986</v>
      </c>
      <c r="M18" s="7">
        <f t="shared" ref="M18" si="164">ROUND(L18*0.465,2)</f>
        <v>2349583.96</v>
      </c>
      <c r="N18" s="7">
        <f>ROUND(L18*0.3,2)-0.02</f>
        <v>1515860.6</v>
      </c>
      <c r="O18" s="7">
        <f t="shared" ref="O18" si="165">ROUND(L18*0.12,2)</f>
        <v>606344.25</v>
      </c>
      <c r="P18" s="7">
        <f t="shared" ref="P18" si="166">ROUND(L18*0.07,2)</f>
        <v>353700.81</v>
      </c>
      <c r="Q18" s="7">
        <f t="shared" ref="Q18" si="167">ROUND(L18*0.01,2)</f>
        <v>50528.69</v>
      </c>
      <c r="R18" s="7">
        <f t="shared" ref="R18" si="168">ROUND(L18*0.0075,2)</f>
        <v>37896.519999999997</v>
      </c>
      <c r="S18" s="7">
        <f t="shared" ref="S18" si="169">ROUND(L18*0.0075,2)</f>
        <v>37896.519999999997</v>
      </c>
      <c r="T18" s="7">
        <f t="shared" ref="T18" si="170">ROUND(L18*0.01,2)</f>
        <v>50528.69</v>
      </c>
      <c r="U18" s="7">
        <f t="shared" ref="U18" si="171">ROUND(L18*0.01,2)</f>
        <v>50528.69</v>
      </c>
      <c r="V18" s="16">
        <f t="shared" ref="V18" si="172">E18/W18</f>
        <v>3127.3944979203793</v>
      </c>
      <c r="W18" s="8">
        <v>1683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45934</v>
      </c>
      <c r="B19" s="7">
        <v>63790444.5</v>
      </c>
      <c r="C19" s="7">
        <v>57909168.160000004</v>
      </c>
      <c r="D19" s="7">
        <v>1200620.96</v>
      </c>
      <c r="E19" s="7">
        <f t="shared" ref="E19" si="173">B19-C19-D19</f>
        <v>4680655.3799999962</v>
      </c>
      <c r="F19" s="7">
        <f>ROUND(E19*0.04,2)</f>
        <v>187226.22</v>
      </c>
      <c r="G19" s="7">
        <f t="shared" ref="G19" si="174">ROUND(E19*0,2)</f>
        <v>0</v>
      </c>
      <c r="H19" s="7">
        <f t="shared" ref="H19" si="175">E19-F19-G19</f>
        <v>4493429.1599999964</v>
      </c>
      <c r="I19" s="7">
        <f t="shared" ref="I19" si="176">ROUND(H19*0,2)</f>
        <v>0</v>
      </c>
      <c r="J19" s="7">
        <f t="shared" ref="J19" si="177">ROUND((I19*0.58)+((I19*0.42)*0.1),2)</f>
        <v>0</v>
      </c>
      <c r="K19" s="7">
        <f t="shared" ref="K19" si="178">ROUND((I19*0.42)*0.9,2)</f>
        <v>0</v>
      </c>
      <c r="L19" s="18">
        <f t="shared" ref="L19" si="179">IF(J19+K19=I19,H19-I19,"ERROR")</f>
        <v>4493429.1599999964</v>
      </c>
      <c r="M19" s="7">
        <f t="shared" ref="M19" si="180">ROUND(L19*0.465,2)</f>
        <v>2089444.56</v>
      </c>
      <c r="N19" s="7">
        <f>ROUND(L19*0.3,2)</f>
        <v>1348028.75</v>
      </c>
      <c r="O19" s="7">
        <f t="shared" ref="O19" si="181">ROUND(L19*0.12,2)</f>
        <v>539211.5</v>
      </c>
      <c r="P19" s="7">
        <f t="shared" ref="P19" si="182">ROUND(L19*0.07,2)</f>
        <v>314540.03999999998</v>
      </c>
      <c r="Q19" s="7">
        <f t="shared" ref="Q19" si="183">ROUND(L19*0.01,2)</f>
        <v>44934.29</v>
      </c>
      <c r="R19" s="7">
        <f t="shared" ref="R19" si="184">ROUND(L19*0.0075,2)</f>
        <v>33700.720000000001</v>
      </c>
      <c r="S19" s="7">
        <f t="shared" ref="S19" si="185">ROUND(L19*0.0075,2)</f>
        <v>33700.720000000001</v>
      </c>
      <c r="T19" s="7">
        <f t="shared" ref="T19" si="186">ROUND(L19*0.01,2)</f>
        <v>44934.29</v>
      </c>
      <c r="U19" s="7">
        <f t="shared" ref="U19" si="187">ROUND(L19*0.01,2)</f>
        <v>44934.29</v>
      </c>
      <c r="V19" s="16">
        <f t="shared" ref="V19" si="188">E19/W19</f>
        <v>2843.6545443499367</v>
      </c>
      <c r="W19" s="8">
        <v>1646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45941</v>
      </c>
      <c r="B20" s="7">
        <v>63681064.380000003</v>
      </c>
      <c r="C20" s="7">
        <v>57700050.719999999</v>
      </c>
      <c r="D20" s="7">
        <v>1096153.47</v>
      </c>
      <c r="E20" s="7">
        <f t="shared" ref="E20" si="189">B20-C20-D20</f>
        <v>4884860.1900000041</v>
      </c>
      <c r="F20" s="7">
        <f>ROUND(E20*0.04,2)-0.01</f>
        <v>195394.4</v>
      </c>
      <c r="G20" s="7">
        <f t="shared" ref="G20" si="190">ROUND(E20*0,2)</f>
        <v>0</v>
      </c>
      <c r="H20" s="7">
        <f t="shared" ref="H20" si="191">E20-F20-G20</f>
        <v>4689465.7900000038</v>
      </c>
      <c r="I20" s="7">
        <f t="shared" ref="I20" si="192">ROUND(H20*0,2)</f>
        <v>0</v>
      </c>
      <c r="J20" s="7">
        <f t="shared" ref="J20" si="193">ROUND((I20*0.58)+((I20*0.42)*0.1),2)</f>
        <v>0</v>
      </c>
      <c r="K20" s="7">
        <f t="shared" ref="K20" si="194">ROUND((I20*0.42)*0.9,2)</f>
        <v>0</v>
      </c>
      <c r="L20" s="18">
        <f t="shared" ref="L20" si="195">IF(J20+K20=I20,H20-I20,"ERROR")</f>
        <v>4689465.7900000038</v>
      </c>
      <c r="M20" s="7">
        <f t="shared" ref="M20" si="196">ROUND(L20*0.465,2)</f>
        <v>2180601.59</v>
      </c>
      <c r="N20" s="7">
        <f>ROUND(L20*0.3,2)</f>
        <v>1406839.74</v>
      </c>
      <c r="O20" s="7">
        <f t="shared" ref="O20" si="197">ROUND(L20*0.12,2)</f>
        <v>562735.89</v>
      </c>
      <c r="P20" s="7">
        <f t="shared" ref="P20" si="198">ROUND(L20*0.07,2)</f>
        <v>328262.61</v>
      </c>
      <c r="Q20" s="7">
        <f t="shared" ref="Q20" si="199">ROUND(L20*0.01,2)</f>
        <v>46894.66</v>
      </c>
      <c r="R20" s="7">
        <f t="shared" ref="R20" si="200">ROUND(L20*0.0075,2)</f>
        <v>35170.99</v>
      </c>
      <c r="S20" s="7">
        <f t="shared" ref="S20" si="201">ROUND(L20*0.0075,2)</f>
        <v>35170.99</v>
      </c>
      <c r="T20" s="7">
        <f t="shared" ref="T20" si="202">ROUND(L20*0.01,2)</f>
        <v>46894.66</v>
      </c>
      <c r="U20" s="7">
        <f t="shared" ref="U20" si="203">ROUND(L20*0.01,2)</f>
        <v>46894.66</v>
      </c>
      <c r="V20" s="16">
        <f t="shared" ref="V20" si="204">E20/W20</f>
        <v>3004.219059040593</v>
      </c>
      <c r="W20" s="8">
        <v>1626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45948</v>
      </c>
      <c r="B21" s="7">
        <v>65706196.509999998</v>
      </c>
      <c r="C21" s="7">
        <v>59482008.079999998</v>
      </c>
      <c r="D21" s="7">
        <v>1179930.6599999999</v>
      </c>
      <c r="E21" s="7">
        <f t="shared" ref="E21" si="205">B21-C21-D21</f>
        <v>5044257.7699999996</v>
      </c>
      <c r="F21" s="7">
        <f>ROUND(E21*0.04,2)</f>
        <v>201770.31</v>
      </c>
      <c r="G21" s="7">
        <f t="shared" ref="G21" si="206">ROUND(E21*0,2)</f>
        <v>0</v>
      </c>
      <c r="H21" s="7">
        <f t="shared" ref="H21" si="207">E21-F21-G21</f>
        <v>4842487.46</v>
      </c>
      <c r="I21" s="7">
        <f t="shared" ref="I21" si="208">ROUND(H21*0,2)</f>
        <v>0</v>
      </c>
      <c r="J21" s="7">
        <f t="shared" ref="J21" si="209">ROUND((I21*0.58)+((I21*0.42)*0.1),2)</f>
        <v>0</v>
      </c>
      <c r="K21" s="7">
        <f t="shared" ref="K21" si="210">ROUND((I21*0.42)*0.9,2)</f>
        <v>0</v>
      </c>
      <c r="L21" s="18">
        <f t="shared" ref="L21" si="211">IF(J21+K21=I21,H21-I21,"ERROR")</f>
        <v>4842487.46</v>
      </c>
      <c r="M21" s="7">
        <f t="shared" ref="M21" si="212">ROUND(L21*0.465,2)</f>
        <v>2251756.67</v>
      </c>
      <c r="N21" s="7">
        <f>ROUND(L21*0.3,2)</f>
        <v>1452746.24</v>
      </c>
      <c r="O21" s="7">
        <f t="shared" ref="O21" si="213">ROUND(L21*0.12,2)</f>
        <v>581098.5</v>
      </c>
      <c r="P21" s="7">
        <f t="shared" ref="P21" si="214">ROUND(L21*0.07,2)</f>
        <v>338974.12</v>
      </c>
      <c r="Q21" s="7">
        <f t="shared" ref="Q21" si="215">ROUND(L21*0.01,2)</f>
        <v>48424.87</v>
      </c>
      <c r="R21" s="7">
        <f t="shared" ref="R21" si="216">ROUND(L21*0.0075,2)</f>
        <v>36318.660000000003</v>
      </c>
      <c r="S21" s="7">
        <f t="shared" ref="S21" si="217">ROUND(L21*0.0075,2)</f>
        <v>36318.660000000003</v>
      </c>
      <c r="T21" s="7">
        <f t="shared" ref="T21" si="218">ROUND(L21*0.01,2)</f>
        <v>48424.87</v>
      </c>
      <c r="U21" s="7">
        <f t="shared" ref="U21" si="219">ROUND(L21*0.01,2)</f>
        <v>48424.87</v>
      </c>
      <c r="V21" s="16">
        <f t="shared" ref="V21" si="220">E21/W21</f>
        <v>3092.7392826486816</v>
      </c>
      <c r="W21" s="8">
        <v>1631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B22" s="9"/>
      <c r="V22" s="10"/>
    </row>
    <row r="23" spans="1:96" ht="15" customHeight="1" thickBot="1" x14ac:dyDescent="0.3">
      <c r="B23" s="11">
        <f t="shared" ref="B23:U23" si="221">SUM(B6:B22)</f>
        <v>1050990593.8499999</v>
      </c>
      <c r="C23" s="11">
        <f t="shared" si="221"/>
        <v>951838096.17000008</v>
      </c>
      <c r="D23" s="11">
        <f t="shared" si="221"/>
        <v>18290771.84</v>
      </c>
      <c r="E23" s="11">
        <f t="shared" si="221"/>
        <v>80861725.839999929</v>
      </c>
      <c r="F23" s="11">
        <f t="shared" si="221"/>
        <v>3234469.1000000006</v>
      </c>
      <c r="G23" s="11">
        <f t="shared" si="221"/>
        <v>0</v>
      </c>
      <c r="H23" s="11">
        <f t="shared" si="221"/>
        <v>77627256.73999992</v>
      </c>
      <c r="I23" s="11">
        <f t="shared" si="221"/>
        <v>0</v>
      </c>
      <c r="J23" s="11">
        <f t="shared" si="221"/>
        <v>0</v>
      </c>
      <c r="K23" s="11">
        <f t="shared" si="221"/>
        <v>0</v>
      </c>
      <c r="L23" s="11">
        <f t="shared" si="221"/>
        <v>77627256.73999992</v>
      </c>
      <c r="M23" s="11">
        <f t="shared" si="221"/>
        <v>36096674.380000003</v>
      </c>
      <c r="N23" s="11">
        <f t="shared" si="221"/>
        <v>23288176.979999997</v>
      </c>
      <c r="O23" s="11">
        <f t="shared" si="221"/>
        <v>9366106.7799999993</v>
      </c>
      <c r="P23" s="11">
        <f t="shared" si="221"/>
        <v>5392043.04</v>
      </c>
      <c r="Q23" s="11">
        <f t="shared" si="221"/>
        <v>776272.58000000007</v>
      </c>
      <c r="R23" s="11">
        <f t="shared" si="221"/>
        <v>577718.91</v>
      </c>
      <c r="S23" s="11">
        <f t="shared" si="221"/>
        <v>577718.91</v>
      </c>
      <c r="T23" s="11">
        <f t="shared" si="221"/>
        <v>1232304.32</v>
      </c>
      <c r="U23" s="11">
        <f t="shared" si="221"/>
        <v>320240.83999999997</v>
      </c>
      <c r="V23" s="12">
        <f>AVERAGE(V6:V22)</f>
        <v>2974.7741836801874</v>
      </c>
      <c r="W23" s="13">
        <f>AVERAGE(W6:W22)</f>
        <v>1699.875</v>
      </c>
    </row>
    <row r="24" spans="1:96" ht="15" customHeight="1" thickTop="1" x14ac:dyDescent="0.25"/>
    <row r="25" spans="1:96" ht="15" customHeight="1" x14ac:dyDescent="0.25">
      <c r="A25" s="1" t="s">
        <v>32</v>
      </c>
    </row>
    <row r="26" spans="1:96" ht="15" customHeight="1" x14ac:dyDescent="0.25">
      <c r="A26" s="1" t="s">
        <v>4</v>
      </c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2024-07-10T17:20:40Z</cp:lastPrinted>
  <dcterms:created xsi:type="dcterms:W3CDTF">2017-06-07T17:06:12Z</dcterms:created>
  <dcterms:modified xsi:type="dcterms:W3CDTF">2025-10-22T13:42:04Z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2024-08-28T12:49:10Z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fdfbf04b-76fc-4967-a2a5-5f335b45e978</vt:lpwstr>
  </property>
  <property fmtid="{D5CDD505-2E9C-101B-9397-08002B2CF9AE}" pid="8" name="MSIP_Label_defa4170-0d19-0005-0004-bc88714345d2_ContentBits">
    <vt:lpwstr>0</vt:lpwstr>
  </property>
</Properties>
</file>